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23"/>
  </bookViews>
  <sheets>
    <sheet name="100 M par.beg." sheetId="1" r:id="rId1"/>
    <sheet name="100 M suvestinė" sheetId="2" r:id="rId2"/>
    <sheet name="100 V par.beg." sheetId="3" r:id="rId3"/>
    <sheet name="100 V Suvestinė" sheetId="4" r:id="rId4"/>
    <sheet name="400 M begimai" sheetId="5" r:id="rId5"/>
    <sheet name="400 M Suvestinė" sheetId="6" r:id="rId6"/>
    <sheet name="400 V begimai" sheetId="7" r:id="rId7"/>
    <sheet name="400 V Suvestinė" sheetId="8" r:id="rId8"/>
    <sheet name="1500 M" sheetId="9" r:id="rId9"/>
    <sheet name="1500 V" sheetId="10" r:id="rId10"/>
    <sheet name="5000 M" sheetId="11" r:id="rId11"/>
    <sheet name="5000 V " sheetId="12" r:id="rId12"/>
    <sheet name="100 bb M" sheetId="13" r:id="rId13"/>
    <sheet name="110 bb V par. beg." sheetId="14" r:id="rId14"/>
    <sheet name="110 bb V Suvestinė" sheetId="15" r:id="rId15"/>
    <sheet name="4x100 M" sheetId="16" r:id="rId16"/>
    <sheet name="4x100 V" sheetId="17" r:id="rId17"/>
    <sheet name="Kartis M" sheetId="18" r:id="rId18"/>
    <sheet name="Kartis V" sheetId="19" r:id="rId19"/>
    <sheet name="Tolis M" sheetId="20" r:id="rId20"/>
    <sheet name="Rutulys M" sheetId="21" r:id="rId21"/>
    <sheet name="Rutulys V" sheetId="22" r:id="rId22"/>
    <sheet name="Ietis M" sheetId="23" r:id="rId23"/>
    <sheet name="Ietis V" sheetId="24" r:id="rId24"/>
  </sheets>
  <externalReferences>
    <externalReference r:id="rId27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<sst xmlns="http://schemas.openxmlformats.org/spreadsheetml/2006/main" count="4905" uniqueCount="1268">
  <si>
    <t xml:space="preserve">LIETUVOS LAF ATVIROS TAURĖS VARŽYBOS </t>
  </si>
  <si>
    <t>LIETUVOS UNIVERSITETŲ STUDENTŲ ČEMPIONATAS</t>
  </si>
  <si>
    <t>Kaunas,</t>
  </si>
  <si>
    <t>1500 m bėgimas vyrams</t>
  </si>
  <si>
    <t>Nr.</t>
  </si>
  <si>
    <t>Vardas</t>
  </si>
  <si>
    <t>Pavardė</t>
  </si>
  <si>
    <t>Gim.data</t>
  </si>
  <si>
    <t>Miestas</t>
  </si>
  <si>
    <t>SM</t>
  </si>
  <si>
    <t>Klubas</t>
  </si>
  <si>
    <t>Univer.</t>
  </si>
  <si>
    <t>Taškai</t>
  </si>
  <si>
    <t>Rezultatas</t>
  </si>
  <si>
    <t>Kv.l.</t>
  </si>
  <si>
    <t>Treneris</t>
  </si>
  <si>
    <t>SB(2016)</t>
  </si>
  <si>
    <t>U.v.</t>
  </si>
  <si>
    <t>SB(2017)</t>
  </si>
  <si>
    <t>Modestas</t>
  </si>
  <si>
    <t>Pabiržis</t>
  </si>
  <si>
    <t>1996 06 08</t>
  </si>
  <si>
    <t>Vilnius ind.</t>
  </si>
  <si>
    <t>VGTU</t>
  </si>
  <si>
    <t>J. Garalevičius</t>
  </si>
  <si>
    <t>1.59</t>
  </si>
  <si>
    <t>Dirsė</t>
  </si>
  <si>
    <t>1992-03-30</t>
  </si>
  <si>
    <t>Švenčionys</t>
  </si>
  <si>
    <t>ŠRSC</t>
  </si>
  <si>
    <t>Aitvaras</t>
  </si>
  <si>
    <t>Z. Zenkevičius</t>
  </si>
  <si>
    <t>Rosvaldas</t>
  </si>
  <si>
    <t>Povilionis</t>
  </si>
  <si>
    <t>1999-09-12</t>
  </si>
  <si>
    <t>Šiauliai,Pakruojis</t>
  </si>
  <si>
    <t>ŠSG, SC</t>
  </si>
  <si>
    <t>Stadija</t>
  </si>
  <si>
    <t>P.Šaučikovas, M.Malinauskas, A. Macevičius</t>
  </si>
  <si>
    <t>4;05,94</t>
  </si>
  <si>
    <t>Tadas</t>
  </si>
  <si>
    <t>Babrauskas</t>
  </si>
  <si>
    <t>1999-04-20</t>
  </si>
  <si>
    <t>Šiauliai</t>
  </si>
  <si>
    <t>ŠSG</t>
  </si>
  <si>
    <t>COSMA ind</t>
  </si>
  <si>
    <t>R.Razmaitė,A.Kitanov</t>
  </si>
  <si>
    <t>Lukas</t>
  </si>
  <si>
    <t>Klimavičius</t>
  </si>
  <si>
    <t>1998-12-31</t>
  </si>
  <si>
    <t>Alytus</t>
  </si>
  <si>
    <t>ASRC</t>
  </si>
  <si>
    <t>ALASK 1</t>
  </si>
  <si>
    <t>V. Šmidtas</t>
  </si>
  <si>
    <t>Faustas</t>
  </si>
  <si>
    <t>Juozapavičius</t>
  </si>
  <si>
    <t>1999-08-09</t>
  </si>
  <si>
    <t>Šiaulių r.</t>
  </si>
  <si>
    <t>Kuršėnų SM</t>
  </si>
  <si>
    <t>J.Savickas,A.Lukošaitis</t>
  </si>
  <si>
    <t>Simas</t>
  </si>
  <si>
    <t>Bertašius</t>
  </si>
  <si>
    <t>1993-10-31</t>
  </si>
  <si>
    <t>Vilnius, Raseiniai</t>
  </si>
  <si>
    <t>VMSC,MRU</t>
  </si>
  <si>
    <t>COSMA I</t>
  </si>
  <si>
    <t>J.Garalevičius,E.Petrokas</t>
  </si>
  <si>
    <t>3:47,88</t>
  </si>
  <si>
    <t>Robert</t>
  </si>
  <si>
    <t>Antonovič</t>
  </si>
  <si>
    <t>1998-05-01</t>
  </si>
  <si>
    <t>Vilnius</t>
  </si>
  <si>
    <t>VMSC</t>
  </si>
  <si>
    <t>COSMA III</t>
  </si>
  <si>
    <t>P.Žukienė,V.Kozlov</t>
  </si>
  <si>
    <t>Gytis</t>
  </si>
  <si>
    <t>Krivickas</t>
  </si>
  <si>
    <t>1996-03-06</t>
  </si>
  <si>
    <t>LEU</t>
  </si>
  <si>
    <t>V.Kozlov,P.Žukienė</t>
  </si>
  <si>
    <t>Jonas</t>
  </si>
  <si>
    <t>Beleška</t>
  </si>
  <si>
    <t>1992-09-30</t>
  </si>
  <si>
    <t>Kaunas</t>
  </si>
  <si>
    <t>KMK2</t>
  </si>
  <si>
    <t>KTU</t>
  </si>
  <si>
    <t xml:space="preserve"> E.Karaškienė</t>
  </si>
  <si>
    <t>4:07,88</t>
  </si>
  <si>
    <t xml:space="preserve">Bartusevič </t>
  </si>
  <si>
    <t>1999-07-23</t>
  </si>
  <si>
    <t xml:space="preserve">Vilniaus r. </t>
  </si>
  <si>
    <t xml:space="preserve">V. Gražys </t>
  </si>
  <si>
    <t>Dominykas</t>
  </si>
  <si>
    <t>Brundza</t>
  </si>
  <si>
    <t>2001-05-01</t>
  </si>
  <si>
    <t>Marijampolė ind.</t>
  </si>
  <si>
    <t>SC "Sūduva"</t>
  </si>
  <si>
    <t>MLASK</t>
  </si>
  <si>
    <t>R.Bindokienė</t>
  </si>
  <si>
    <t>Rusevičius</t>
  </si>
  <si>
    <t>1997-07-16</t>
  </si>
  <si>
    <t>Kaunas,Marijampolė ind.</t>
  </si>
  <si>
    <t>LSU 2</t>
  </si>
  <si>
    <t>R.Kančys,V.Komisaraitis</t>
  </si>
  <si>
    <t>Jaunius</t>
  </si>
  <si>
    <t>Strazdas</t>
  </si>
  <si>
    <t>1996-10-23</t>
  </si>
  <si>
    <t>VU</t>
  </si>
  <si>
    <t>J. Armonienė</t>
  </si>
  <si>
    <t>Vieta</t>
  </si>
  <si>
    <t>DNS</t>
  </si>
  <si>
    <t>Finalas</t>
  </si>
  <si>
    <t>Z.Zenkevičius,R.Turla</t>
  </si>
  <si>
    <t>1993-02-05</t>
  </si>
  <si>
    <t>Zajančkovskaja</t>
  </si>
  <si>
    <t>Kristina</t>
  </si>
  <si>
    <t>R. Akucevičiūtė</t>
  </si>
  <si>
    <t>VLASK</t>
  </si>
  <si>
    <t>Vilkaviškis</t>
  </si>
  <si>
    <t>1999-03-25</t>
  </si>
  <si>
    <t>Račiukaitytė</t>
  </si>
  <si>
    <t>Giedrė</t>
  </si>
  <si>
    <t>1998-11-16</t>
  </si>
  <si>
    <t xml:space="preserve">Jacukevič </t>
  </si>
  <si>
    <t>Aneta</t>
  </si>
  <si>
    <t>savarankiškai</t>
  </si>
  <si>
    <t>1995 11 07</t>
  </si>
  <si>
    <t>Krupinskaitė</t>
  </si>
  <si>
    <t xml:space="preserve">Agnė </t>
  </si>
  <si>
    <t>M.Krakys, L.Bloškienė</t>
  </si>
  <si>
    <t>"NIKĖ" 2</t>
  </si>
  <si>
    <t>LAM</t>
  </si>
  <si>
    <t>Klaipėda</t>
  </si>
  <si>
    <t>1998-09-11</t>
  </si>
  <si>
    <t>Kuldaitė</t>
  </si>
  <si>
    <t>Violeta</t>
  </si>
  <si>
    <t>V.Komisaraitis,J.Kasputienė</t>
  </si>
  <si>
    <t>2000-09-23</t>
  </si>
  <si>
    <t>Vosyliūtė</t>
  </si>
  <si>
    <t>Gabrielė</t>
  </si>
  <si>
    <t>M.Skamarakas</t>
  </si>
  <si>
    <t>KKSC</t>
  </si>
  <si>
    <t>Raseiniai</t>
  </si>
  <si>
    <t>2001-06-02</t>
  </si>
  <si>
    <t>Žikaitė</t>
  </si>
  <si>
    <t xml:space="preserve">Augustė </t>
  </si>
  <si>
    <t>M. Norbutas</t>
  </si>
  <si>
    <t>ŠU</t>
  </si>
  <si>
    <t>ŠLASC</t>
  </si>
  <si>
    <t>1994-09-17</t>
  </si>
  <si>
    <t>Balsytė</t>
  </si>
  <si>
    <t>Aurika</t>
  </si>
  <si>
    <t>P.Šaučikovas, M.Malinauskas</t>
  </si>
  <si>
    <t>1999-12-24</t>
  </si>
  <si>
    <t>Linkutė</t>
  </si>
  <si>
    <t>Auksė</t>
  </si>
  <si>
    <t>I.Krakoviak-Tolstika,A.Tolstiks</t>
  </si>
  <si>
    <t>1997-10-07</t>
  </si>
  <si>
    <t>Paužaitė</t>
  </si>
  <si>
    <t>A.Stanikov</t>
  </si>
  <si>
    <t>Latvija</t>
  </si>
  <si>
    <t>1997-07-08</t>
  </si>
  <si>
    <t>I.Juodeškienė, D. Tamulevičius</t>
  </si>
  <si>
    <t>LSMU</t>
  </si>
  <si>
    <t>KMK1</t>
  </si>
  <si>
    <t>SM ,,Viltis"</t>
  </si>
  <si>
    <t>Kaunas, Kaišiadorys</t>
  </si>
  <si>
    <t>1995-01-19</t>
  </si>
  <si>
    <t>Pabiržytė</t>
  </si>
  <si>
    <t>Vytautė</t>
  </si>
  <si>
    <t>M.Krakys</t>
  </si>
  <si>
    <t>KU</t>
  </si>
  <si>
    <t>"NIKĖ" 1</t>
  </si>
  <si>
    <t>"Viesulo" SC</t>
  </si>
  <si>
    <t>1991-08-08</t>
  </si>
  <si>
    <t>Balnaitė</t>
  </si>
  <si>
    <t>Banga</t>
  </si>
  <si>
    <t>1500 m bėgimas moterims</t>
  </si>
  <si>
    <t>Rutulio stūmimas moterims</t>
  </si>
  <si>
    <t>Bandymai</t>
  </si>
  <si>
    <t>Eilė</t>
  </si>
  <si>
    <t>Rez.</t>
  </si>
  <si>
    <t>Austra</t>
  </si>
  <si>
    <t>Skujytė</t>
  </si>
  <si>
    <t>1979.08.12</t>
  </si>
  <si>
    <t>Atletas</t>
  </si>
  <si>
    <t xml:space="preserve">T. Nekrošaitė </t>
  </si>
  <si>
    <t>Kupstytė</t>
  </si>
  <si>
    <t>1992-03-09</t>
  </si>
  <si>
    <t>COSMA II</t>
  </si>
  <si>
    <t>X</t>
  </si>
  <si>
    <t>S.Liepinaitis,A.Tolstiks</t>
  </si>
  <si>
    <t>Laura</t>
  </si>
  <si>
    <t>Gedminaitė</t>
  </si>
  <si>
    <t>1993-04-30</t>
  </si>
  <si>
    <t xml:space="preserve">J.Radžius </t>
  </si>
  <si>
    <t>Agnė</t>
  </si>
  <si>
    <t>Jonkutė</t>
  </si>
  <si>
    <t>1999-03-13</t>
  </si>
  <si>
    <t xml:space="preserve">Vilnius,Joniškis </t>
  </si>
  <si>
    <t>Ozo g. SS</t>
  </si>
  <si>
    <t>J.Radžius,R.Prokopenko</t>
  </si>
  <si>
    <t>Valerija</t>
  </si>
  <si>
    <t>Kolontaj</t>
  </si>
  <si>
    <t>1999-08-01</t>
  </si>
  <si>
    <t>A.Mikelytė</t>
  </si>
  <si>
    <t>Kamilė</t>
  </si>
  <si>
    <t>Turskytė</t>
  </si>
  <si>
    <t>1997-01-27</t>
  </si>
  <si>
    <t>Kaunas,Kėdainiai</t>
  </si>
  <si>
    <t>V.L.Maleckiai, R.Sakalauskienė</t>
  </si>
  <si>
    <t>Miglė Liepa</t>
  </si>
  <si>
    <t>Muraškaitė</t>
  </si>
  <si>
    <t>1998-06-16</t>
  </si>
  <si>
    <t>A.Izergin</t>
  </si>
  <si>
    <t>Miglė</t>
  </si>
  <si>
    <t>Paulikaitė</t>
  </si>
  <si>
    <t>2000-02-21</t>
  </si>
  <si>
    <t>SM"Startas"</t>
  </si>
  <si>
    <t>I.Jakubaitytė</t>
  </si>
  <si>
    <t>Vera</t>
  </si>
  <si>
    <t>Antonova</t>
  </si>
  <si>
    <t>2000-08-25</t>
  </si>
  <si>
    <t>Start U</t>
  </si>
  <si>
    <t>A.Šilauskas, V.Murašovas</t>
  </si>
  <si>
    <t>XXX</t>
  </si>
  <si>
    <t>0</t>
  </si>
  <si>
    <t>2000-04-13</t>
  </si>
  <si>
    <t>Ramanauskaitė</t>
  </si>
  <si>
    <t>Vaiva</t>
  </si>
  <si>
    <t>A.Izergin,V.Žiedienė,J.Spudis</t>
  </si>
  <si>
    <t>X0</t>
  </si>
  <si>
    <t>Vilnius,Šiauliai</t>
  </si>
  <si>
    <t>1996-07-14</t>
  </si>
  <si>
    <t>Mickutė</t>
  </si>
  <si>
    <t>Almina</t>
  </si>
  <si>
    <t>R.Sadzevičienė,  D.Jankauskaitė</t>
  </si>
  <si>
    <t>Startas</t>
  </si>
  <si>
    <t>1996-11-17</t>
  </si>
  <si>
    <t>Liubinaitė</t>
  </si>
  <si>
    <t>Ugnė</t>
  </si>
  <si>
    <t>R. Vasiliauskas</t>
  </si>
  <si>
    <t>"Šuolininkas"</t>
  </si>
  <si>
    <t>"Startas"</t>
  </si>
  <si>
    <t>1998-04-03</t>
  </si>
  <si>
    <t>Dambrauskaitė</t>
  </si>
  <si>
    <t>XX0</t>
  </si>
  <si>
    <t>1998-12-22</t>
  </si>
  <si>
    <t>Eimontaitė</t>
  </si>
  <si>
    <t>Viktorija</t>
  </si>
  <si>
    <t>1999-04-06</t>
  </si>
  <si>
    <t>Jasaitė</t>
  </si>
  <si>
    <t>Karolina</t>
  </si>
  <si>
    <t>Šuolis su kartimi moterims</t>
  </si>
  <si>
    <t>A.Skujytė, E.Karaškienė</t>
  </si>
  <si>
    <t>1992-06-12</t>
  </si>
  <si>
    <t>Bendoraitis</t>
  </si>
  <si>
    <t>Tomas</t>
  </si>
  <si>
    <t>V. Kokarskaja</t>
  </si>
  <si>
    <t>JRKKCS</t>
  </si>
  <si>
    <t>Jurbarkas</t>
  </si>
  <si>
    <t>1998-04-25</t>
  </si>
  <si>
    <t>Matuzas</t>
  </si>
  <si>
    <t>Edvardas</t>
  </si>
  <si>
    <t>1999-05-28</t>
  </si>
  <si>
    <t>Benkunskas</t>
  </si>
  <si>
    <t>Edgaras</t>
  </si>
  <si>
    <t>D.Matusevičienė</t>
  </si>
  <si>
    <t>1999-08-03</t>
  </si>
  <si>
    <t>Gaidys</t>
  </si>
  <si>
    <t>Julius</t>
  </si>
  <si>
    <t>D.Juršienė</t>
  </si>
  <si>
    <t>1988-07-18</t>
  </si>
  <si>
    <t>Jurša</t>
  </si>
  <si>
    <t>Vytautas</t>
  </si>
  <si>
    <t>V.Strokas</t>
  </si>
  <si>
    <t>JKSC</t>
  </si>
  <si>
    <t>Šakiai</t>
  </si>
  <si>
    <t>1998-09-25</t>
  </si>
  <si>
    <t>Masteika</t>
  </si>
  <si>
    <t>T.Nekrošaitė, E.Karaškienė</t>
  </si>
  <si>
    <t>SM "Startas"</t>
  </si>
  <si>
    <t>1994-01-22</t>
  </si>
  <si>
    <t>Jančiauskas</t>
  </si>
  <si>
    <t>Motiejus</t>
  </si>
  <si>
    <t>T.Nekrošaitė</t>
  </si>
  <si>
    <t xml:space="preserve"> -</t>
  </si>
  <si>
    <t>LSU</t>
  </si>
  <si>
    <t>1994-03-13</t>
  </si>
  <si>
    <t>Šimoliūnas</t>
  </si>
  <si>
    <t>Skirmantas</t>
  </si>
  <si>
    <t>Ieties metimas vyrams</t>
  </si>
  <si>
    <t>100 m barjerinis bėgimas moterims</t>
  </si>
  <si>
    <t>Vėjas</t>
  </si>
  <si>
    <t>R.l.</t>
  </si>
  <si>
    <t>11a</t>
  </si>
  <si>
    <t>Irma</t>
  </si>
  <si>
    <t>Mačiukaitė</t>
  </si>
  <si>
    <t>Pasvalys</t>
  </si>
  <si>
    <t>Svalė</t>
  </si>
  <si>
    <t>NT</t>
  </si>
  <si>
    <t>K.Mačėnas</t>
  </si>
  <si>
    <t>Greta</t>
  </si>
  <si>
    <t>Plečkaitytė</t>
  </si>
  <si>
    <t>1998-03-16</t>
  </si>
  <si>
    <t>N.Gedgaudienė</t>
  </si>
  <si>
    <t>171a</t>
  </si>
  <si>
    <t>Diana</t>
  </si>
  <si>
    <t>Pranckutė</t>
  </si>
  <si>
    <t>1993-03-16</t>
  </si>
  <si>
    <t>Kaunas,Telšiai</t>
  </si>
  <si>
    <t xml:space="preserve"> VDU</t>
  </si>
  <si>
    <t>I.Jakubaitytė, D.Pranckuvienė</t>
  </si>
  <si>
    <t>166a</t>
  </si>
  <si>
    <t>Čeponytė</t>
  </si>
  <si>
    <t>2000-02-04</t>
  </si>
  <si>
    <t>D. Jankauskaitė, N. Sabaliauskienė</t>
  </si>
  <si>
    <t>Rasa</t>
  </si>
  <si>
    <t>Mažeikaitė</t>
  </si>
  <si>
    <t>1997-06-17</t>
  </si>
  <si>
    <t>"Piramidė"</t>
  </si>
  <si>
    <t>J. Baikštienė</t>
  </si>
  <si>
    <t>Aurėja</t>
  </si>
  <si>
    <t>Vaičekauskaitė</t>
  </si>
  <si>
    <t>2001-03-08</t>
  </si>
  <si>
    <t>O.Grybauskienė</t>
  </si>
  <si>
    <t>Gintarė</t>
  </si>
  <si>
    <t>Griciūtė</t>
  </si>
  <si>
    <t>2000-11-23</t>
  </si>
  <si>
    <t>DNF</t>
  </si>
  <si>
    <t>A.Vilčinskienė, R.Adomaitienė</t>
  </si>
  <si>
    <t>400 m bėgimas moterims</t>
  </si>
  <si>
    <t>bėgimas iš</t>
  </si>
  <si>
    <t>28a</t>
  </si>
  <si>
    <t>Gargasaitė</t>
  </si>
  <si>
    <t>1998 06 14</t>
  </si>
  <si>
    <t>Telšiai</t>
  </si>
  <si>
    <t>SRC</t>
  </si>
  <si>
    <t>L.Kaveckienė, J.Čižauskas</t>
  </si>
  <si>
    <t>14a</t>
  </si>
  <si>
    <t>Vaitkevičiūtė</t>
  </si>
  <si>
    <t>1999-09-30</t>
  </si>
  <si>
    <t>Švenčionys ind.</t>
  </si>
  <si>
    <t>R.Turla</t>
  </si>
  <si>
    <t>Rimkūnaitė</t>
  </si>
  <si>
    <t>1999-07-22</t>
  </si>
  <si>
    <t>"Šilainiai"</t>
  </si>
  <si>
    <t>D.JankauskaitėN.Sabaliauskienė,I.Jakubaitytė</t>
  </si>
  <si>
    <t>46a</t>
  </si>
  <si>
    <t>Austė</t>
  </si>
  <si>
    <t>Macijauskaitė</t>
  </si>
  <si>
    <t>2000-08-18</t>
  </si>
  <si>
    <t xml:space="preserve">Kaunas </t>
  </si>
  <si>
    <t>M.Vadeikis</t>
  </si>
  <si>
    <t>Šlempo</t>
  </si>
  <si>
    <t>2000-12-18</t>
  </si>
  <si>
    <t>"Midlongas"</t>
  </si>
  <si>
    <t>L.Juchnevičienė</t>
  </si>
  <si>
    <t>Takas</t>
  </si>
  <si>
    <t>Juknytė</t>
  </si>
  <si>
    <t>1997-04-01</t>
  </si>
  <si>
    <t>"Dinamitas"</t>
  </si>
  <si>
    <t>V. Žiedienė, J. Spudis</t>
  </si>
  <si>
    <t>1:04,55</t>
  </si>
  <si>
    <t>Rimantė</t>
  </si>
  <si>
    <t>Vijeikytė</t>
  </si>
  <si>
    <t>1994-12-19</t>
  </si>
  <si>
    <t>E.Karaškienė</t>
  </si>
  <si>
    <t>1:04,28</t>
  </si>
  <si>
    <t>16a</t>
  </si>
  <si>
    <t>Čagajeva</t>
  </si>
  <si>
    <t>2000-08-27</t>
  </si>
  <si>
    <t>G.Michniova</t>
  </si>
  <si>
    <t>22a</t>
  </si>
  <si>
    <t>Rosita</t>
  </si>
  <si>
    <t>Šimkevičiūtė</t>
  </si>
  <si>
    <t>2001-01-31</t>
  </si>
  <si>
    <t>1:03,88</t>
  </si>
  <si>
    <t>Brusokaitė</t>
  </si>
  <si>
    <t>1997-08-16</t>
  </si>
  <si>
    <t>I.Juodeškienė</t>
  </si>
  <si>
    <t>Gabija</t>
  </si>
  <si>
    <t>Kulbokaitė</t>
  </si>
  <si>
    <t>1999-04-26</t>
  </si>
  <si>
    <t>V.Komisaraitis</t>
  </si>
  <si>
    <t>1:05,12</t>
  </si>
  <si>
    <t>117a</t>
  </si>
  <si>
    <t>Karina</t>
  </si>
  <si>
    <t>Mamedova</t>
  </si>
  <si>
    <t>1998-08-10</t>
  </si>
  <si>
    <t>Č.Kundrotas</t>
  </si>
  <si>
    <t>1:04,96</t>
  </si>
  <si>
    <t>30a</t>
  </si>
  <si>
    <t>Inga</t>
  </si>
  <si>
    <t>Skilčiūtė</t>
  </si>
  <si>
    <t>1999-09-15</t>
  </si>
  <si>
    <t>1:09,76</t>
  </si>
  <si>
    <t>Roberta</t>
  </si>
  <si>
    <t>1:00,70</t>
  </si>
  <si>
    <t>111a</t>
  </si>
  <si>
    <t>Kemeklytė</t>
  </si>
  <si>
    <t>1993-06-13</t>
  </si>
  <si>
    <t xml:space="preserve"> J.Armonienė</t>
  </si>
  <si>
    <t>1:02,47</t>
  </si>
  <si>
    <t>Aušrinė</t>
  </si>
  <si>
    <t>Plioplytė</t>
  </si>
  <si>
    <t>1998-07-22</t>
  </si>
  <si>
    <t>Marijampolė</t>
  </si>
  <si>
    <t>1:01,51</t>
  </si>
  <si>
    <t>Oksana</t>
  </si>
  <si>
    <t>Choda</t>
  </si>
  <si>
    <t>1979-06-02</t>
  </si>
  <si>
    <t>V.Baronienė</t>
  </si>
  <si>
    <t>1:00,98</t>
  </si>
  <si>
    <t>Eglė</t>
  </si>
  <si>
    <t>Puidokaitė</t>
  </si>
  <si>
    <t>1995-10-26</t>
  </si>
  <si>
    <t>1:01,71</t>
  </si>
  <si>
    <t>121a</t>
  </si>
  <si>
    <t>Aistė</t>
  </si>
  <si>
    <t>Meškelaitė</t>
  </si>
  <si>
    <t>1998-06-19</t>
  </si>
  <si>
    <t>1:02,19</t>
  </si>
  <si>
    <t>136a</t>
  </si>
  <si>
    <t>Livija</t>
  </si>
  <si>
    <t>Misiūnaitė</t>
  </si>
  <si>
    <t>2001-02-25</t>
  </si>
  <si>
    <t>Z.Tindžiulienė,P.Žukienė</t>
  </si>
  <si>
    <t>1:01,24</t>
  </si>
  <si>
    <t>152a</t>
  </si>
  <si>
    <t>Justė</t>
  </si>
  <si>
    <t>Pacevičiūtė</t>
  </si>
  <si>
    <t>1998-01-15</t>
  </si>
  <si>
    <t>G.Šerėnienė,  E.Karaškienė</t>
  </si>
  <si>
    <t>1:01,73</t>
  </si>
  <si>
    <t xml:space="preserve">Eva </t>
  </si>
  <si>
    <t>1991-04-12</t>
  </si>
  <si>
    <t>VDU</t>
  </si>
  <si>
    <t>L. Meuwly, N. Sabaliauskienė</t>
  </si>
  <si>
    <t>Erika</t>
  </si>
  <si>
    <t>Krūminaitė</t>
  </si>
  <si>
    <t>1998-04-24</t>
  </si>
  <si>
    <t>55,57</t>
  </si>
  <si>
    <t>Balčiūnaitė</t>
  </si>
  <si>
    <t>1988-10-31</t>
  </si>
  <si>
    <t>L. Meuwly, A. Kitanov</t>
  </si>
  <si>
    <t>Rūta</t>
  </si>
  <si>
    <t>Okulič-Kazarinaitė</t>
  </si>
  <si>
    <t>1999-11-08</t>
  </si>
  <si>
    <t>57,53</t>
  </si>
  <si>
    <t>155a</t>
  </si>
  <si>
    <t xml:space="preserve">Savko </t>
  </si>
  <si>
    <t>2000-01-01</t>
  </si>
  <si>
    <t>56,03</t>
  </si>
  <si>
    <t>Deimantė</t>
  </si>
  <si>
    <t>Bedalytė</t>
  </si>
  <si>
    <t>2000-06-17</t>
  </si>
  <si>
    <t>59,78</t>
  </si>
  <si>
    <t>Ivickytė</t>
  </si>
  <si>
    <t>1997-02-09</t>
  </si>
  <si>
    <t>59,04</t>
  </si>
  <si>
    <t>Suvestinė</t>
  </si>
  <si>
    <t>400 m bėgimas vyrams</t>
  </si>
  <si>
    <t>Arnas</t>
  </si>
  <si>
    <t>Gabrėnas</t>
  </si>
  <si>
    <t>1994-08-23</t>
  </si>
  <si>
    <t>-</t>
  </si>
  <si>
    <t>45a</t>
  </si>
  <si>
    <t>Einius</t>
  </si>
  <si>
    <t>Trumpa</t>
  </si>
  <si>
    <t>1998-06-23</t>
  </si>
  <si>
    <t>Rokiškis</t>
  </si>
  <si>
    <t>V. Čereška</t>
  </si>
  <si>
    <t>147a</t>
  </si>
  <si>
    <t>Dalikas</t>
  </si>
  <si>
    <t>1982-12-26</t>
  </si>
  <si>
    <t>D.JankauskaitėN.Sabaliauskienė</t>
  </si>
  <si>
    <t>180a</t>
  </si>
  <si>
    <t>Domantas</t>
  </si>
  <si>
    <t>Daknys</t>
  </si>
  <si>
    <t>2000-08-29</t>
  </si>
  <si>
    <t>A. Kitanov, R.. Razmaitė</t>
  </si>
  <si>
    <t>101a</t>
  </si>
  <si>
    <t xml:space="preserve">Erikas </t>
  </si>
  <si>
    <t>Urbanovič</t>
  </si>
  <si>
    <t>1999-02-27</t>
  </si>
  <si>
    <t>J.Strumskytė-Razgūnė</t>
  </si>
  <si>
    <t>Karolis</t>
  </si>
  <si>
    <t>Čipkus</t>
  </si>
  <si>
    <t>1999-11-12</t>
  </si>
  <si>
    <t>D.Skirmantienė</t>
  </si>
  <si>
    <t>146a</t>
  </si>
  <si>
    <t>Martynas</t>
  </si>
  <si>
    <t>Čepas</t>
  </si>
  <si>
    <t>2001-09-19</t>
  </si>
  <si>
    <t>Ričardas</t>
  </si>
  <si>
    <t>Gudonavičius</t>
  </si>
  <si>
    <t>1998-04-13</t>
  </si>
  <si>
    <t>Kėdainiai</t>
  </si>
  <si>
    <t>Kėdainių SC</t>
  </si>
  <si>
    <t>N.Daugėlienė</t>
  </si>
  <si>
    <t>Aleksandr</t>
  </si>
  <si>
    <t>Malyško</t>
  </si>
  <si>
    <t>1987-07-08</t>
  </si>
  <si>
    <t>Ugnius</t>
  </si>
  <si>
    <t>Petryla</t>
  </si>
  <si>
    <t>1999-07-10</t>
  </si>
  <si>
    <t>L.Bružas</t>
  </si>
  <si>
    <t>Deividas</t>
  </si>
  <si>
    <t>Janulevičius</t>
  </si>
  <si>
    <t>1998-02-01</t>
  </si>
  <si>
    <t>ALASK 2</t>
  </si>
  <si>
    <t>V. Rasiukevičienė</t>
  </si>
  <si>
    <t>Miliūnas</t>
  </si>
  <si>
    <t>1996-07-17</t>
  </si>
  <si>
    <t>A.Miliauskas,  E.Karaškienė</t>
  </si>
  <si>
    <t>Ignas</t>
  </si>
  <si>
    <t>Kaveckas</t>
  </si>
  <si>
    <t>1999-08-17</t>
  </si>
  <si>
    <t>R. Kergytė-Dauskurdienė</t>
  </si>
  <si>
    <t>Kristis</t>
  </si>
  <si>
    <t>Stankevičius</t>
  </si>
  <si>
    <t>1997-08-28</t>
  </si>
  <si>
    <t>138a</t>
  </si>
  <si>
    <t>Edvinas</t>
  </si>
  <si>
    <t>Prociukas</t>
  </si>
  <si>
    <t>2000-01-11</t>
  </si>
  <si>
    <t>Pakruojis</t>
  </si>
  <si>
    <t>SC</t>
  </si>
  <si>
    <t>A.Macevičius</t>
  </si>
  <si>
    <t>Juknys</t>
  </si>
  <si>
    <t>1998-04-27</t>
  </si>
  <si>
    <t>Linas</t>
  </si>
  <si>
    <t>Šarkauskas</t>
  </si>
  <si>
    <t>1996-01-21</t>
  </si>
  <si>
    <t>131a</t>
  </si>
  <si>
    <t>Andrej</t>
  </si>
  <si>
    <t>Timofejev</t>
  </si>
  <si>
    <t>1995-08-24</t>
  </si>
  <si>
    <t>Vilius</t>
  </si>
  <si>
    <t>Pavolis</t>
  </si>
  <si>
    <t>1998-02-19</t>
  </si>
  <si>
    <t>Z.Peleckienė</t>
  </si>
  <si>
    <t>43a</t>
  </si>
  <si>
    <t>Jasiūnas</t>
  </si>
  <si>
    <t>1999-05-09</t>
  </si>
  <si>
    <t xml:space="preserve">Panevėžys </t>
  </si>
  <si>
    <t>"Žvaigždė"</t>
  </si>
  <si>
    <t>A.Dobregienė</t>
  </si>
  <si>
    <t>Dovydas</t>
  </si>
  <si>
    <t>Jakubaitis</t>
  </si>
  <si>
    <t>2000-09-10</t>
  </si>
  <si>
    <t>D. Šaučikovas</t>
  </si>
  <si>
    <t>12a</t>
  </si>
  <si>
    <t>Noreika</t>
  </si>
  <si>
    <t>A.Pranckevičius</t>
  </si>
  <si>
    <t>Justas</t>
  </si>
  <si>
    <t>Pikšrys</t>
  </si>
  <si>
    <t>1999-09-29</t>
  </si>
  <si>
    <t>R. Kančys, L. Kančytė</t>
  </si>
  <si>
    <t>19a</t>
  </si>
  <si>
    <t>Erikas</t>
  </si>
  <si>
    <t>Martinaitis</t>
  </si>
  <si>
    <t>2001-02-09</t>
  </si>
  <si>
    <t>42a</t>
  </si>
  <si>
    <t>Dobrega</t>
  </si>
  <si>
    <t>1999-05-03</t>
  </si>
  <si>
    <t>129a</t>
  </si>
  <si>
    <t>Olegas</t>
  </si>
  <si>
    <t>Ivanikovas</t>
  </si>
  <si>
    <t>1999-11-17</t>
  </si>
  <si>
    <t>Algimantas</t>
  </si>
  <si>
    <t>Žemaitaitis</t>
  </si>
  <si>
    <t>1998-01-13</t>
  </si>
  <si>
    <t>V. Strokas</t>
  </si>
  <si>
    <t>44a</t>
  </si>
  <si>
    <t xml:space="preserve">Jakimavičius </t>
  </si>
  <si>
    <t>1999-02-18</t>
  </si>
  <si>
    <t>Panevėžys</t>
  </si>
  <si>
    <t>R.Sargūno g.,KKSC</t>
  </si>
  <si>
    <t>"Greitas spurtas"</t>
  </si>
  <si>
    <t xml:space="preserve">A.Sniečkus </t>
  </si>
  <si>
    <t>Malinovskij</t>
  </si>
  <si>
    <t>1995-07-31</t>
  </si>
  <si>
    <t>Armandas</t>
  </si>
  <si>
    <t>Balčius</t>
  </si>
  <si>
    <t>1999-08-21</t>
  </si>
  <si>
    <t>Čiurinskas</t>
  </si>
  <si>
    <t>1992-08-02</t>
  </si>
  <si>
    <t>Kaišiadorys</t>
  </si>
  <si>
    <t>"Kertus"</t>
  </si>
  <si>
    <t>A. Kavaliauskas</t>
  </si>
  <si>
    <t>Rokas</t>
  </si>
  <si>
    <t>Pacevičius</t>
  </si>
  <si>
    <t>1995-05-10</t>
  </si>
  <si>
    <t>SM „Viltis”</t>
  </si>
  <si>
    <t>G. Šerėnienė</t>
  </si>
  <si>
    <t>Gediminas</t>
  </si>
  <si>
    <t>Truskauskas</t>
  </si>
  <si>
    <t>1998-01-02</t>
  </si>
  <si>
    <t>103a</t>
  </si>
  <si>
    <t>Valentinas</t>
  </si>
  <si>
    <t>Bukovskis</t>
  </si>
  <si>
    <t>1995-12-19</t>
  </si>
  <si>
    <t>I.Jefimova</t>
  </si>
  <si>
    <t>Daniel</t>
  </si>
  <si>
    <t>Golovacki</t>
  </si>
  <si>
    <t>1996-02-12</t>
  </si>
  <si>
    <t>Kaunas, Švenčionys</t>
  </si>
  <si>
    <t>"Startas", ŠRSC</t>
  </si>
  <si>
    <t>N.Sabaliauskienė,G.Michniova,D.Jankauskaitė</t>
  </si>
  <si>
    <t>48.77</t>
  </si>
  <si>
    <t>Jokūbas</t>
  </si>
  <si>
    <t>Tubutis</t>
  </si>
  <si>
    <t>1999-02-16</t>
  </si>
  <si>
    <t>Šilutė</t>
  </si>
  <si>
    <t>L.Leikuvienė</t>
  </si>
  <si>
    <t>39a</t>
  </si>
  <si>
    <t xml:space="preserve">Jatužis </t>
  </si>
  <si>
    <t>1999-01-19</t>
  </si>
  <si>
    <t>A.Sniečkus, R.Jakubauskas</t>
  </si>
  <si>
    <t>48a</t>
  </si>
  <si>
    <t>Almantas</t>
  </si>
  <si>
    <t>Dapkevičius</t>
  </si>
  <si>
    <t>1996-09-11</t>
  </si>
  <si>
    <t>Kauno r.,Marijampolė</t>
  </si>
  <si>
    <t>SC "Sūduva"-ASU</t>
  </si>
  <si>
    <t>ASU</t>
  </si>
  <si>
    <t>A.Kazlauskas, D.Urbonienė</t>
  </si>
  <si>
    <t>Valentas</t>
  </si>
  <si>
    <t>1992-06-26</t>
  </si>
  <si>
    <t>100 m bėgimas vyrams</t>
  </si>
  <si>
    <t>Par.bėg.</t>
  </si>
  <si>
    <t>2017</t>
  </si>
  <si>
    <t>Artūras</t>
  </si>
  <si>
    <t>Muliarovas</t>
  </si>
  <si>
    <t>1996-10-08</t>
  </si>
  <si>
    <t>1</t>
  </si>
  <si>
    <t>148a</t>
  </si>
  <si>
    <t>Tauras</t>
  </si>
  <si>
    <t>Petruškevičius</t>
  </si>
  <si>
    <t>1997-03-12</t>
  </si>
  <si>
    <t>'Startas''</t>
  </si>
  <si>
    <t>R.Petruškevičius</t>
  </si>
  <si>
    <t>2</t>
  </si>
  <si>
    <t>112a</t>
  </si>
  <si>
    <t>Šarūnas</t>
  </si>
  <si>
    <t>Totoraitis</t>
  </si>
  <si>
    <t>1996-03-09</t>
  </si>
  <si>
    <t>11,44</t>
  </si>
  <si>
    <t>3</t>
  </si>
  <si>
    <t>Mantas</t>
  </si>
  <si>
    <t>Macevičius</t>
  </si>
  <si>
    <t>1998-08-04</t>
  </si>
  <si>
    <t>11,38</t>
  </si>
  <si>
    <t>4</t>
  </si>
  <si>
    <t>105a</t>
  </si>
  <si>
    <t>Rainys</t>
  </si>
  <si>
    <t>1993-07-30</t>
  </si>
  <si>
    <t>11,05</t>
  </si>
  <si>
    <t>5</t>
  </si>
  <si>
    <t>145a</t>
  </si>
  <si>
    <t>Beresna</t>
  </si>
  <si>
    <t>1996-05-25</t>
  </si>
  <si>
    <t>N.Sabaliauskienė, L.Kaveckienė</t>
  </si>
  <si>
    <t>11,08</t>
  </si>
  <si>
    <t>6</t>
  </si>
  <si>
    <t>104a</t>
  </si>
  <si>
    <t>Paškovski</t>
  </si>
  <si>
    <t>2000-03-12</t>
  </si>
  <si>
    <t>12,09</t>
  </si>
  <si>
    <t>7</t>
  </si>
  <si>
    <t>149a</t>
  </si>
  <si>
    <t>Ailandas</t>
  </si>
  <si>
    <t>Barauskas</t>
  </si>
  <si>
    <t>2001-11-14</t>
  </si>
  <si>
    <t>,,Startas"</t>
  </si>
  <si>
    <t>E. Dilys</t>
  </si>
  <si>
    <t>8</t>
  </si>
  <si>
    <t>126a</t>
  </si>
  <si>
    <t>Savickas</t>
  </si>
  <si>
    <t>1992-01-22</t>
  </si>
  <si>
    <t>M.Skrabulis,D.Skirmantienė</t>
  </si>
  <si>
    <t>10,87</t>
  </si>
  <si>
    <t>Ickys</t>
  </si>
  <si>
    <t>1998-04-04</t>
  </si>
  <si>
    <t>Urbonas</t>
  </si>
  <si>
    <t>1997-06-25</t>
  </si>
  <si>
    <t>"Beržyno žiogelis"</t>
  </si>
  <si>
    <t>L. Maceika</t>
  </si>
  <si>
    <t>11,29</t>
  </si>
  <si>
    <t>144a</t>
  </si>
  <si>
    <t>Regimantas</t>
  </si>
  <si>
    <t>Tiškus</t>
  </si>
  <si>
    <t>2000-09-22</t>
  </si>
  <si>
    <t>Kaunas,Raseiniai</t>
  </si>
  <si>
    <t>11,20</t>
  </si>
  <si>
    <t>2a</t>
  </si>
  <si>
    <t>Ernestas</t>
  </si>
  <si>
    <t>Nekraševičius</t>
  </si>
  <si>
    <t>1997-04-15</t>
  </si>
  <si>
    <t>LAA</t>
  </si>
  <si>
    <t>Maratonas</t>
  </si>
  <si>
    <t>A.Vilčinskienė, D.Rauktys</t>
  </si>
  <si>
    <t>11,61</t>
  </si>
  <si>
    <t>Aurimas</t>
  </si>
  <si>
    <t>Ašutaitis</t>
  </si>
  <si>
    <t>1993-01-31</t>
  </si>
  <si>
    <t>R. Ančlauskas</t>
  </si>
  <si>
    <t>12,21</t>
  </si>
  <si>
    <t>Aironas</t>
  </si>
  <si>
    <t>Zigmantavičius</t>
  </si>
  <si>
    <t>2000-04-28</t>
  </si>
  <si>
    <t>L. Stanienė</t>
  </si>
  <si>
    <t>12,48</t>
  </si>
  <si>
    <t>140a</t>
  </si>
  <si>
    <t>Rytis</t>
  </si>
  <si>
    <t>Sakalauskas</t>
  </si>
  <si>
    <t>1987-06-27</t>
  </si>
  <si>
    <t>M.Skrabulis,J.Stanislovaitienė</t>
  </si>
  <si>
    <t>10,66</t>
  </si>
  <si>
    <t>38a</t>
  </si>
  <si>
    <t>Džiugas</t>
  </si>
  <si>
    <t>Juška</t>
  </si>
  <si>
    <t>1998-08-18</t>
  </si>
  <si>
    <t>P.Fedorenka</t>
  </si>
  <si>
    <t>11,54</t>
  </si>
  <si>
    <t>Benas</t>
  </si>
  <si>
    <t>Kontrimavičius</t>
  </si>
  <si>
    <t>1999-06-04</t>
  </si>
  <si>
    <t>M.Skrabulis, D.Matusevičienė</t>
  </si>
  <si>
    <t>Kučinskas</t>
  </si>
  <si>
    <t>1995-05-06</t>
  </si>
  <si>
    <t>L. Maceika, V. Bogomolovas</t>
  </si>
  <si>
    <t>11,28</t>
  </si>
  <si>
    <t>150a</t>
  </si>
  <si>
    <t>Mindaugas</t>
  </si>
  <si>
    <t>Budrys</t>
  </si>
  <si>
    <t>2001-01-13</t>
  </si>
  <si>
    <t>12,36</t>
  </si>
  <si>
    <t>32a</t>
  </si>
  <si>
    <t>1999-07-11</t>
  </si>
  <si>
    <t>J.Čižauskas</t>
  </si>
  <si>
    <t>127a</t>
  </si>
  <si>
    <t>Kostas</t>
  </si>
  <si>
    <t>Skrabulis</t>
  </si>
  <si>
    <t>1992-08-04</t>
  </si>
  <si>
    <t>Deimantas</t>
  </si>
  <si>
    <t>Špučys</t>
  </si>
  <si>
    <t>1991-04-19</t>
  </si>
  <si>
    <t>D.D.Senkai</t>
  </si>
  <si>
    <t>11,14</t>
  </si>
  <si>
    <t>Irmantas</t>
  </si>
  <si>
    <t>Birbalas</t>
  </si>
  <si>
    <t>1996-05-16</t>
  </si>
  <si>
    <t>V.Šilinskas</t>
  </si>
  <si>
    <t>11,31</t>
  </si>
  <si>
    <t>Nuobaras</t>
  </si>
  <si>
    <t>1991-09-01</t>
  </si>
  <si>
    <t>11,51</t>
  </si>
  <si>
    <t>118a</t>
  </si>
  <si>
    <t>Pavel</t>
  </si>
  <si>
    <t>Novicki</t>
  </si>
  <si>
    <t>"Saulė"</t>
  </si>
  <si>
    <t>H.Statkus</t>
  </si>
  <si>
    <t>11,66</t>
  </si>
  <si>
    <t>114a</t>
  </si>
  <si>
    <t>Kipras</t>
  </si>
  <si>
    <t>Čepaitis</t>
  </si>
  <si>
    <t>2001-04-07</t>
  </si>
  <si>
    <t>"Šuolis"</t>
  </si>
  <si>
    <t>12,17</t>
  </si>
  <si>
    <t>115a</t>
  </si>
  <si>
    <t>Masaitis</t>
  </si>
  <si>
    <t>2001-01-17</t>
  </si>
  <si>
    <t>12,90</t>
  </si>
  <si>
    <t>Laurynas</t>
  </si>
  <si>
    <t>Toleikis</t>
  </si>
  <si>
    <t>1999-01-03</t>
  </si>
  <si>
    <t>E.Norvilas</t>
  </si>
  <si>
    <t>10,89</t>
  </si>
  <si>
    <t>Pakalniškis</t>
  </si>
  <si>
    <t>1999-05-13</t>
  </si>
  <si>
    <t>Plungė</t>
  </si>
  <si>
    <t>R.Šilenskienė</t>
  </si>
  <si>
    <t>11,46</t>
  </si>
  <si>
    <t>139a</t>
  </si>
  <si>
    <t>Kristupas</t>
  </si>
  <si>
    <t>26a</t>
  </si>
  <si>
    <t>Dariuš</t>
  </si>
  <si>
    <t>Križanovskij</t>
  </si>
  <si>
    <t>1998-06-12</t>
  </si>
  <si>
    <t>Vilniaus r.</t>
  </si>
  <si>
    <t>P.Pristavka</t>
  </si>
  <si>
    <t>11,88</t>
  </si>
  <si>
    <t>49a</t>
  </si>
  <si>
    <t>Vaitkevičius</t>
  </si>
  <si>
    <t>1998-05-19</t>
  </si>
  <si>
    <t>Ž.Leskauskas, V.Šmidtas</t>
  </si>
  <si>
    <t>161a</t>
  </si>
  <si>
    <t>Vladas</t>
  </si>
  <si>
    <t>Kunigonis</t>
  </si>
  <si>
    <t>2001-10-03</t>
  </si>
  <si>
    <t>12,13</t>
  </si>
  <si>
    <t>Augustas</t>
  </si>
  <si>
    <t>Kunėjus</t>
  </si>
  <si>
    <t>2001-02-20</t>
  </si>
  <si>
    <t>128a</t>
  </si>
  <si>
    <t>Šeštokas</t>
  </si>
  <si>
    <t>1996-04-18</t>
  </si>
  <si>
    <t>M.Skrabulis,D.Skirmantienė,Z.Gleveckienė</t>
  </si>
  <si>
    <t>141a</t>
  </si>
  <si>
    <t>Siautilas</t>
  </si>
  <si>
    <t>1997-05-20</t>
  </si>
  <si>
    <t>10,98</t>
  </si>
  <si>
    <t>31a</t>
  </si>
  <si>
    <t>Silkinis</t>
  </si>
  <si>
    <t>1995-06-23</t>
  </si>
  <si>
    <t>J.Čižauskas,E.Karaškienė</t>
  </si>
  <si>
    <t>11,36</t>
  </si>
  <si>
    <t>2v</t>
  </si>
  <si>
    <t>Giedrius</t>
  </si>
  <si>
    <t>Rupeika</t>
  </si>
  <si>
    <t>1992-09-10</t>
  </si>
  <si>
    <t>Vilnius,Šakiai</t>
  </si>
  <si>
    <t>D.Skirmantienė,A.Ulinskas</t>
  </si>
  <si>
    <t>3v</t>
  </si>
  <si>
    <t>Andrius</t>
  </si>
  <si>
    <t>Būda</t>
  </si>
  <si>
    <t>1998-10-10</t>
  </si>
  <si>
    <t>11,76</t>
  </si>
  <si>
    <t>80a</t>
  </si>
  <si>
    <t>Žiupka</t>
  </si>
  <si>
    <t>1997 10 10</t>
  </si>
  <si>
    <t>E. Žiupkienė</t>
  </si>
  <si>
    <t>173a</t>
  </si>
  <si>
    <t>Pijus</t>
  </si>
  <si>
    <t>Bradulskis</t>
  </si>
  <si>
    <t>11,50</t>
  </si>
  <si>
    <t>Augustinas</t>
  </si>
  <si>
    <t>Kazlauskas</t>
  </si>
  <si>
    <t>2001-10-14</t>
  </si>
  <si>
    <t>10a</t>
  </si>
  <si>
    <t>Dailidėnas</t>
  </si>
  <si>
    <t>1995-01-30</t>
  </si>
  <si>
    <t>I. Jefimova</t>
  </si>
  <si>
    <t>11,56</t>
  </si>
  <si>
    <t>Šuolis į tolį moterims</t>
  </si>
  <si>
    <t>Lipeckaja</t>
  </si>
  <si>
    <t>A.Tolstiks</t>
  </si>
  <si>
    <t>,I.Krakoviak-Tolstika</t>
  </si>
  <si>
    <t xml:space="preserve">I.Jakubaitytė, </t>
  </si>
  <si>
    <t>D.Pranckuvienė</t>
  </si>
  <si>
    <t>Vaida</t>
  </si>
  <si>
    <t>Padimanskaitė</t>
  </si>
  <si>
    <t>2000-08-07</t>
  </si>
  <si>
    <t xml:space="preserve">R.Jakubauskas, </t>
  </si>
  <si>
    <t>Z.Gleveckienė</t>
  </si>
  <si>
    <t>Justina</t>
  </si>
  <si>
    <t>Aukštuolytė</t>
  </si>
  <si>
    <t xml:space="preserve">1996-06-26 </t>
  </si>
  <si>
    <t>K.Šapka</t>
  </si>
  <si>
    <t>Sofija</t>
  </si>
  <si>
    <t>Korf</t>
  </si>
  <si>
    <t>1994-08-05</t>
  </si>
  <si>
    <t>K.Šapka, I.Jefimova</t>
  </si>
  <si>
    <t>Luka</t>
  </si>
  <si>
    <t>Garšvaitė</t>
  </si>
  <si>
    <t>2001-03-25</t>
  </si>
  <si>
    <t>A.Gavelytė</t>
  </si>
  <si>
    <t>Urtė</t>
  </si>
  <si>
    <t>Bačianskaitė</t>
  </si>
  <si>
    <t>2000-09-17</t>
  </si>
  <si>
    <t xml:space="preserve">Simona </t>
  </si>
  <si>
    <t>Grybaitė</t>
  </si>
  <si>
    <t>1998-02-10</t>
  </si>
  <si>
    <t xml:space="preserve">Kaunas   </t>
  </si>
  <si>
    <t xml:space="preserve">I.,A.Gricevičiai, </t>
  </si>
  <si>
    <t>Neringa</t>
  </si>
  <si>
    <t>Gedaminskaitė</t>
  </si>
  <si>
    <t>1995-03-23</t>
  </si>
  <si>
    <t>Vilnius,Pasvalys</t>
  </si>
  <si>
    <t>5.51</t>
  </si>
  <si>
    <t>K.Šapka, K.Mačėnas</t>
  </si>
  <si>
    <t>Česnauskytė</t>
  </si>
  <si>
    <t>2000-04-09</t>
  </si>
  <si>
    <t>Ieva</t>
  </si>
  <si>
    <t>Ruseckytė</t>
  </si>
  <si>
    <t>Dominyka</t>
  </si>
  <si>
    <t>Leskauskaitė</t>
  </si>
  <si>
    <t>Ž. Leskauskas</t>
  </si>
  <si>
    <t>Dovilė</t>
  </si>
  <si>
    <t>Ragauskaitė</t>
  </si>
  <si>
    <t>1998-03-17</t>
  </si>
  <si>
    <t>Vilnius,Švenčionys</t>
  </si>
  <si>
    <t>K.Šapka,V.Nekrašas</t>
  </si>
  <si>
    <t>Raminta</t>
  </si>
  <si>
    <t>Klimašauskaitė</t>
  </si>
  <si>
    <t>1999-03-24</t>
  </si>
  <si>
    <t>5.31,60</t>
  </si>
  <si>
    <t>Žaneta</t>
  </si>
  <si>
    <t>Levkovič</t>
  </si>
  <si>
    <t>1998-09-21</t>
  </si>
  <si>
    <t xml:space="preserve">A.Vilčinskienė, </t>
  </si>
  <si>
    <t>R.Adomaitienė</t>
  </si>
  <si>
    <t>Viltė</t>
  </si>
  <si>
    <t>Narbutaitytė</t>
  </si>
  <si>
    <t>1999-10-03</t>
  </si>
  <si>
    <t>L.Milikauskaitė</t>
  </si>
  <si>
    <t>Chvedevičiūtė</t>
  </si>
  <si>
    <t>1999-10-25</t>
  </si>
  <si>
    <t>4.79</t>
  </si>
  <si>
    <t>V.Nekrašas, R.Turla</t>
  </si>
  <si>
    <t>Jasadavičiūtė</t>
  </si>
  <si>
    <t>2001-01-04</t>
  </si>
  <si>
    <t>Mechovič</t>
  </si>
  <si>
    <t>1999-05-12</t>
  </si>
  <si>
    <t>Emilija</t>
  </si>
  <si>
    <t>Rudytė</t>
  </si>
  <si>
    <t>1996-08-13</t>
  </si>
  <si>
    <t>Tenenytė</t>
  </si>
  <si>
    <t>2001-03-20</t>
  </si>
  <si>
    <t>R. Salickas</t>
  </si>
  <si>
    <t>Skaistė</t>
  </si>
  <si>
    <t>Grigytė</t>
  </si>
  <si>
    <t>1991-02-01</t>
  </si>
  <si>
    <t>NM</t>
  </si>
  <si>
    <t>Renata</t>
  </si>
  <si>
    <t>Jasevičiūtė</t>
  </si>
  <si>
    <t>1999-04-11</t>
  </si>
  <si>
    <t>"Viltis"</t>
  </si>
  <si>
    <t>1999-10-06</t>
  </si>
  <si>
    <t>Antanavičius</t>
  </si>
  <si>
    <t>Nauris</t>
  </si>
  <si>
    <t>J.Martinkus</t>
  </si>
  <si>
    <t>1996-09-20</t>
  </si>
  <si>
    <t>Gedrimas</t>
  </si>
  <si>
    <t>Osvaldas</t>
  </si>
  <si>
    <t>1998-07-20</t>
  </si>
  <si>
    <t>Kolpakovas</t>
  </si>
  <si>
    <t>Šuolis su kartimi vyrams</t>
  </si>
  <si>
    <t>A. Skujytė</t>
  </si>
  <si>
    <t>1994.03.24</t>
  </si>
  <si>
    <t>Auželytė</t>
  </si>
  <si>
    <t>Evelina</t>
  </si>
  <si>
    <t>V.L.Maleckiai, R.Šinkūmas</t>
  </si>
  <si>
    <t>1996-11-07</t>
  </si>
  <si>
    <t>Šiaulytė</t>
  </si>
  <si>
    <t>I.Jakubaitytė, T.Nekrošaitė</t>
  </si>
  <si>
    <t>1997-05-27</t>
  </si>
  <si>
    <t>Kunickaitė</t>
  </si>
  <si>
    <t>L.,V. Maleckiai</t>
  </si>
  <si>
    <t>1997-11-05</t>
  </si>
  <si>
    <t>Daunoraitė</t>
  </si>
  <si>
    <t>Savarankiškai</t>
  </si>
  <si>
    <t>Panevėžio KKSC</t>
  </si>
  <si>
    <t>1989-01-26</t>
  </si>
  <si>
    <t>Barvičiūtė</t>
  </si>
  <si>
    <t xml:space="preserve">T.Nekrošaitė </t>
  </si>
  <si>
    <t>1995-05-23</t>
  </si>
  <si>
    <t>Dobilaitė</t>
  </si>
  <si>
    <t>Simona</t>
  </si>
  <si>
    <t>1976-01-24</t>
  </si>
  <si>
    <t>Jakubaitytė</t>
  </si>
  <si>
    <t>Indrė</t>
  </si>
  <si>
    <t>1994-07-26</t>
  </si>
  <si>
    <t>Jasiūnaitė</t>
  </si>
  <si>
    <t>Liveta</t>
  </si>
  <si>
    <t>Ieties metimas moterims</t>
  </si>
  <si>
    <t>100 m bėgimas moterims</t>
  </si>
  <si>
    <t>5a</t>
  </si>
  <si>
    <t>Deliautaitė</t>
  </si>
  <si>
    <t>1995-08-09</t>
  </si>
  <si>
    <t>Kaunas, Klaipėda</t>
  </si>
  <si>
    <t>J.Čižauskas, J.Beržinskienė</t>
  </si>
  <si>
    <t>12,32</t>
  </si>
  <si>
    <t>120a</t>
  </si>
  <si>
    <t>Kotryna</t>
  </si>
  <si>
    <t>Tonkovičiūtė</t>
  </si>
  <si>
    <t>1998-03-30</t>
  </si>
  <si>
    <t>M.Skrabulis,I.Krakoviak-Tolstika,A.Tolstiks</t>
  </si>
  <si>
    <t>12,31</t>
  </si>
  <si>
    <t>3a</t>
  </si>
  <si>
    <t>Jankauskatė</t>
  </si>
  <si>
    <t>1995-03-15</t>
  </si>
  <si>
    <t>12,87</t>
  </si>
  <si>
    <t>13,00</t>
  </si>
  <si>
    <t>109a</t>
  </si>
  <si>
    <t>Guoda</t>
  </si>
  <si>
    <t>Petkevičiūtė</t>
  </si>
  <si>
    <t>2000-05-17</t>
  </si>
  <si>
    <t>R.Snarskienė</t>
  </si>
  <si>
    <t>13,39</t>
  </si>
  <si>
    <t>119a</t>
  </si>
  <si>
    <t>Elenska</t>
  </si>
  <si>
    <t>1998-12-20</t>
  </si>
  <si>
    <t>116a</t>
  </si>
  <si>
    <t>Milena</t>
  </si>
  <si>
    <t>Kamskaitė</t>
  </si>
  <si>
    <t>1999-06-22</t>
  </si>
  <si>
    <t xml:space="preserve">Vilnius </t>
  </si>
  <si>
    <t>13,97</t>
  </si>
  <si>
    <t>Monika</t>
  </si>
  <si>
    <t>Radvilaitė</t>
  </si>
  <si>
    <t>2000-07-12</t>
  </si>
  <si>
    <t>165a</t>
  </si>
  <si>
    <t>Kiudelytė</t>
  </si>
  <si>
    <t>1999-04-14</t>
  </si>
  <si>
    <t>SM "Viltis"</t>
  </si>
  <si>
    <t>12,23</t>
  </si>
  <si>
    <t>Džavahidis</t>
  </si>
  <si>
    <t>1992-12-30</t>
  </si>
  <si>
    <t>34a</t>
  </si>
  <si>
    <t>Asta</t>
  </si>
  <si>
    <t>Strumbylaitė</t>
  </si>
  <si>
    <t>1999-09-14</t>
  </si>
  <si>
    <t>A. Dobregienė, Z. Gleveckienė</t>
  </si>
  <si>
    <t>12,44</t>
  </si>
  <si>
    <t>102a</t>
  </si>
  <si>
    <t>13,10</t>
  </si>
  <si>
    <t>Dzingeliauskaitė</t>
  </si>
  <si>
    <t>1999-06-13</t>
  </si>
  <si>
    <t>O.Pavilionienė, N.Gedgaudienė</t>
  </si>
  <si>
    <t>13,34</t>
  </si>
  <si>
    <t>1a</t>
  </si>
  <si>
    <t>Daugėlaitė</t>
  </si>
  <si>
    <t>1993-01-07</t>
  </si>
  <si>
    <t>V.Baronienė, D.Rauktys</t>
  </si>
  <si>
    <t>9a</t>
  </si>
  <si>
    <t>Kornelija</t>
  </si>
  <si>
    <t>Kondrotaitė</t>
  </si>
  <si>
    <t>1994 01 21</t>
  </si>
  <si>
    <t>I Jefimova</t>
  </si>
  <si>
    <t>33a</t>
  </si>
  <si>
    <t>Kaminskaitė</t>
  </si>
  <si>
    <t>2000-05-11</t>
  </si>
  <si>
    <t>Panevėžys,Kėdainiai</t>
  </si>
  <si>
    <t>R.Jakubauskas,R.Sakalauskienė</t>
  </si>
  <si>
    <t>12,39</t>
  </si>
  <si>
    <t>Austėja</t>
  </si>
  <si>
    <t>Barbšytė</t>
  </si>
  <si>
    <t>A.Šilauskas</t>
  </si>
  <si>
    <t>12,41</t>
  </si>
  <si>
    <t>133a</t>
  </si>
  <si>
    <t>Okunevič</t>
  </si>
  <si>
    <t>1999-09-08</t>
  </si>
  <si>
    <t>12,93</t>
  </si>
  <si>
    <t>122a</t>
  </si>
  <si>
    <t>Lik</t>
  </si>
  <si>
    <t>2001-07-05</t>
  </si>
  <si>
    <t>12,89</t>
  </si>
  <si>
    <t>24a</t>
  </si>
  <si>
    <t>Vidmantė</t>
  </si>
  <si>
    <t>Burbaitė</t>
  </si>
  <si>
    <t>2000-02-16</t>
  </si>
  <si>
    <t>13,32</t>
  </si>
  <si>
    <t xml:space="preserve">Laura </t>
  </si>
  <si>
    <t>Bilinskaitė</t>
  </si>
  <si>
    <t>1995-05-19</t>
  </si>
  <si>
    <t>K. Šapka, V. Šmidtas</t>
  </si>
  <si>
    <t>Samanta</t>
  </si>
  <si>
    <t>Mikelionytė</t>
  </si>
  <si>
    <t>2001-07-29</t>
  </si>
  <si>
    <t>13,73</t>
  </si>
  <si>
    <t>Alina</t>
  </si>
  <si>
    <t>Raklevičiūtė</t>
  </si>
  <si>
    <t>1997-03-04</t>
  </si>
  <si>
    <t>D. Skirmantienė</t>
  </si>
  <si>
    <t>4a</t>
  </si>
  <si>
    <t>Augustė</t>
  </si>
  <si>
    <t>Regalaitė</t>
  </si>
  <si>
    <t>1998-03-24</t>
  </si>
  <si>
    <t>Kaunas,Klaipėda</t>
  </si>
  <si>
    <t>12,66</t>
  </si>
  <si>
    <t>Unskinaitė</t>
  </si>
  <si>
    <t>12,68</t>
  </si>
  <si>
    <t>6a</t>
  </si>
  <si>
    <t>Silvija</t>
  </si>
  <si>
    <t>Baubonytė</t>
  </si>
  <si>
    <t>1996-11-09</t>
  </si>
  <si>
    <t>47a</t>
  </si>
  <si>
    <t>Dubininkaitė</t>
  </si>
  <si>
    <t>1999-12-27</t>
  </si>
  <si>
    <t>S.Obelienienė</t>
  </si>
  <si>
    <t>13,08</t>
  </si>
  <si>
    <t>Adrija</t>
  </si>
  <si>
    <t>Balažentytė</t>
  </si>
  <si>
    <t>2001-10-20</t>
  </si>
  <si>
    <t>13,51</t>
  </si>
  <si>
    <t>29a</t>
  </si>
  <si>
    <t>Pivnickaitė</t>
  </si>
  <si>
    <t>1999-01-06</t>
  </si>
  <si>
    <t>1999-01-11</t>
  </si>
  <si>
    <t>Marcinkevičiūtė</t>
  </si>
  <si>
    <t>Vilma</t>
  </si>
  <si>
    <t>J.Beržinskienė</t>
  </si>
  <si>
    <t>1998-02-14</t>
  </si>
  <si>
    <t>Gruodytė</t>
  </si>
  <si>
    <t>Vilmantė</t>
  </si>
  <si>
    <t>H. Eismontas</t>
  </si>
  <si>
    <t>1996 09 25</t>
  </si>
  <si>
    <t>Želvytė</t>
  </si>
  <si>
    <t>D. Pavliukovičius</t>
  </si>
  <si>
    <t>Vilnius,Alytus</t>
  </si>
  <si>
    <t>1988-01-13</t>
  </si>
  <si>
    <t>Žūsinaitė</t>
  </si>
  <si>
    <t>R. Kančys, I. Juodeškienė</t>
  </si>
  <si>
    <t>1994-07-20</t>
  </si>
  <si>
    <t>Kančytė</t>
  </si>
  <si>
    <t>Loreta</t>
  </si>
  <si>
    <t>5000 m bėgimas moterims</t>
  </si>
  <si>
    <t>Elena</t>
  </si>
  <si>
    <t>Miezava</t>
  </si>
  <si>
    <t>J. Baikštienė, T. Skalikas</t>
  </si>
  <si>
    <t>2000-08-04</t>
  </si>
  <si>
    <t>Inda</t>
  </si>
  <si>
    <t>J. Baikštienė. T. Skalikas</t>
  </si>
  <si>
    <t>ŠSG, ŠLASC</t>
  </si>
  <si>
    <t>2000-03-10</t>
  </si>
  <si>
    <t>Stripeikis</t>
  </si>
  <si>
    <t>Naubartas</t>
  </si>
  <si>
    <t>E.Žilys.Z.Balčiauskas</t>
  </si>
  <si>
    <t>"Lėvuo''</t>
  </si>
  <si>
    <t>1999-03-22</t>
  </si>
  <si>
    <t>Giedraitis</t>
  </si>
  <si>
    <t>A.Miliauskas,L.Maleckis</t>
  </si>
  <si>
    <t>1997-06-20</t>
  </si>
  <si>
    <t>Maisuradzė</t>
  </si>
  <si>
    <t>V.R.Murašovai</t>
  </si>
  <si>
    <t>1992-08-13</t>
  </si>
  <si>
    <t>Murašovas</t>
  </si>
  <si>
    <t>V.Murašovas</t>
  </si>
  <si>
    <t>1992-10-14</t>
  </si>
  <si>
    <t>Jurkša</t>
  </si>
  <si>
    <t>1998-05-17</t>
  </si>
  <si>
    <t>Čečkauskas</t>
  </si>
  <si>
    <t>Arminas</t>
  </si>
  <si>
    <t>V.Murašovas, A.Jasmontas</t>
  </si>
  <si>
    <t>Klaipėda, Skuodas</t>
  </si>
  <si>
    <t>Malotkinas</t>
  </si>
  <si>
    <t>S.Liepinaitis</t>
  </si>
  <si>
    <t>1992-07-09</t>
  </si>
  <si>
    <t>Ivaškevičius</t>
  </si>
  <si>
    <t>Vytenis</t>
  </si>
  <si>
    <t>1996-03-22</t>
  </si>
  <si>
    <t>Čekanavičius</t>
  </si>
  <si>
    <t>Vilnius,Joniškis</t>
  </si>
  <si>
    <t>1998-04-20</t>
  </si>
  <si>
    <t>Gelažius</t>
  </si>
  <si>
    <t>Paulius</t>
  </si>
  <si>
    <t>1991-11-20</t>
  </si>
  <si>
    <t>Banevičius</t>
  </si>
  <si>
    <t>Rutulio stūmimas vyrams</t>
  </si>
  <si>
    <t>5000 m bėgimas vyrams</t>
  </si>
  <si>
    <t>Mockus</t>
  </si>
  <si>
    <t>1992-10-30</t>
  </si>
  <si>
    <t>Šiauliai,Šiaulių r.</t>
  </si>
  <si>
    <t>ŠLASC,Kuršėnų SM</t>
  </si>
  <si>
    <t>J.Beržanskis,M.Norbutas,A.Lukošaitis</t>
  </si>
  <si>
    <t>Darius</t>
  </si>
  <si>
    <t>Petkevičius</t>
  </si>
  <si>
    <t>Evaldas</t>
  </si>
  <si>
    <t>Gustaitis</t>
  </si>
  <si>
    <t>1995-05-02</t>
  </si>
  <si>
    <t>Marijampolė,Kaunas</t>
  </si>
  <si>
    <t>SC "Sūduva"-LSU</t>
  </si>
  <si>
    <t>V.Komisaraitis,A.Buliuolis</t>
  </si>
  <si>
    <t>Bizimavičius</t>
  </si>
  <si>
    <t>1992-11-08</t>
  </si>
  <si>
    <t>R.Kančys, E.Karaškienė</t>
  </si>
  <si>
    <t>Danilovas</t>
  </si>
  <si>
    <t>1999-06-17</t>
  </si>
  <si>
    <t>Kelmė</t>
  </si>
  <si>
    <t>VJSM</t>
  </si>
  <si>
    <t xml:space="preserve">G.Kasputis </t>
  </si>
  <si>
    <t>Stašys</t>
  </si>
  <si>
    <t>1996-11-19</t>
  </si>
  <si>
    <t>L. Juchnevičienė</t>
  </si>
  <si>
    <t xml:space="preserve">Jateiko </t>
  </si>
  <si>
    <t>1995-08-01</t>
  </si>
  <si>
    <t>Pacauskas</t>
  </si>
  <si>
    <t>"Vilniaus Baltai"</t>
  </si>
  <si>
    <t xml:space="preserve">R.Sausaitis </t>
  </si>
  <si>
    <t>Būdvytis</t>
  </si>
  <si>
    <t>1995-12-26</t>
  </si>
  <si>
    <t>ASU KKSC</t>
  </si>
  <si>
    <t>A.Kazlauskas</t>
  </si>
  <si>
    <t>Tautvydas</t>
  </si>
  <si>
    <t>Baliutavičius</t>
  </si>
  <si>
    <t>1997-11-06</t>
  </si>
  <si>
    <t>Šiauliai ind.</t>
  </si>
  <si>
    <t>Kęstas</t>
  </si>
  <si>
    <t>Mickus</t>
  </si>
  <si>
    <t>Aloyzas</t>
  </si>
  <si>
    <t>Valančius</t>
  </si>
  <si>
    <t xml:space="preserve"> 1996-09-13</t>
  </si>
  <si>
    <t>Daunoravičius</t>
  </si>
  <si>
    <t>1999-11-05</t>
  </si>
  <si>
    <t>A. Klebauskas</t>
  </si>
  <si>
    <t>110 m barjerinis bėgimas vyrams</t>
  </si>
  <si>
    <t>107a</t>
  </si>
  <si>
    <t>Rapolas</t>
  </si>
  <si>
    <t>Saulius</t>
  </si>
  <si>
    <t>1996-02-15</t>
  </si>
  <si>
    <t>14,26</t>
  </si>
  <si>
    <t>Janauskas</t>
  </si>
  <si>
    <t>1987-07-25</t>
  </si>
  <si>
    <t>L.Grinčikaitė-Samuolė</t>
  </si>
  <si>
    <t>Malakauskas</t>
  </si>
  <si>
    <t>1992-07-14</t>
  </si>
  <si>
    <t>E.Norvilas, A.Vilčinskienė</t>
  </si>
  <si>
    <t>168a</t>
  </si>
  <si>
    <t>Barcys</t>
  </si>
  <si>
    <t>1997-09-22</t>
  </si>
  <si>
    <t>15,24</t>
  </si>
  <si>
    <t>110a</t>
  </si>
  <si>
    <t>Maksim</t>
  </si>
  <si>
    <t>Bolotin</t>
  </si>
  <si>
    <t>T. Krasauskienė</t>
  </si>
  <si>
    <t>15,37</t>
  </si>
  <si>
    <t>14,03ž</t>
  </si>
  <si>
    <t>37a</t>
  </si>
  <si>
    <t>Gabrielius</t>
  </si>
  <si>
    <t>Bžeskis</t>
  </si>
  <si>
    <t>1998-07-13</t>
  </si>
  <si>
    <t>15,15ž</t>
  </si>
  <si>
    <t>153a</t>
  </si>
  <si>
    <t>Vrašinskas</t>
  </si>
  <si>
    <t>1995-09-30</t>
  </si>
  <si>
    <t>N.Gedgaudienė,D.Senkus,  E.Karaškienė</t>
  </si>
  <si>
    <t>14,97</t>
  </si>
  <si>
    <t>154a</t>
  </si>
  <si>
    <t>Gailevičius</t>
  </si>
  <si>
    <t>1997-12-01</t>
  </si>
  <si>
    <t>A.Gavėnas,  E.Karaškienė, L.Rolskis</t>
  </si>
  <si>
    <t>15,42ž</t>
  </si>
  <si>
    <t>2017-06-02</t>
  </si>
  <si>
    <t>4x100 m estafetinis bėgimas moterims</t>
  </si>
  <si>
    <t>Etapas</t>
  </si>
  <si>
    <t xml:space="preserve">Vardas </t>
  </si>
  <si>
    <t xml:space="preserve">Pavardė </t>
  </si>
  <si>
    <t>Kom.</t>
  </si>
  <si>
    <r>
      <t xml:space="preserve">LLAF taškai </t>
    </r>
    <r>
      <rPr>
        <b/>
        <sz val="8"/>
        <rFont val="Times New Roman"/>
        <family val="1"/>
      </rPr>
      <t>(koef.2)</t>
    </r>
  </si>
  <si>
    <t>LUSČ taškai</t>
  </si>
  <si>
    <t>Rezul- tatas</t>
  </si>
  <si>
    <t>Džavachidis</t>
  </si>
  <si>
    <t>K.Šapka,K.Mačėnas</t>
  </si>
  <si>
    <t>Akvilė</t>
  </si>
  <si>
    <t>Jonauskytė</t>
  </si>
  <si>
    <t>2000-09-18</t>
  </si>
  <si>
    <t>4x100 m estafetinis bėgimas vyrams</t>
  </si>
  <si>
    <t>H. Statkus</t>
  </si>
  <si>
    <t>N.Sabaliauskienė</t>
  </si>
  <si>
    <t xml:space="preserve">Rokas </t>
  </si>
  <si>
    <t>G.Šerėnienė</t>
  </si>
  <si>
    <t>Elvinas</t>
  </si>
  <si>
    <t>Brazauskas</t>
  </si>
  <si>
    <t>1992-01-17</t>
  </si>
  <si>
    <t>Švenčionys,Vilnius</t>
  </si>
  <si>
    <t>K.Šapka, V.Nekrašas</t>
  </si>
  <si>
    <t>124a</t>
  </si>
  <si>
    <t>Lotužis</t>
  </si>
  <si>
    <t>Vilnius,Skuodas</t>
  </si>
  <si>
    <t>K.Šapka,A.Donėla</t>
  </si>
  <si>
    <t>Štūra</t>
  </si>
  <si>
    <t>1997-05-17</t>
  </si>
  <si>
    <t>KSM</t>
  </si>
  <si>
    <t>I 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</si>
</sst>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.00\ &quot;Lt&quot;_-;\-* #,##0.00\ &quot;Lt&quot;_-;_-* &quot;-&quot;??\ &quot;Lt&quot;_-;_-@_-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000"/>
    <numFmt numFmtId="187" formatCode="ss.00"/>
    <numFmt numFmtId="188" formatCode="mm:ss.00"/>
  </numFmts>
  <fonts count="75"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"/>
      <color indexed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TimesLT"/>
      <family val="0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b/>
      <sz val="15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8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5" fontId="21" fillId="0" borderId="0" applyFill="0" applyBorder="0" applyAlignment="0">
      <protection/>
    </xf>
    <xf numFmtId="166" fontId="21" fillId="0" borderId="0" applyFill="0" applyBorder="0" applyAlignment="0">
      <protection/>
    </xf>
    <xf numFmtId="167" fontId="21" fillId="0" borderId="0" applyFill="0" applyBorder="0" applyAlignment="0">
      <protection/>
    </xf>
    <xf numFmtId="168" fontId="21" fillId="0" borderId="0" applyFill="0" applyBorder="0" applyAlignment="0">
      <protection/>
    </xf>
    <xf numFmtId="169" fontId="21" fillId="0" borderId="0" applyFill="0" applyBorder="0" applyAlignment="0">
      <protection/>
    </xf>
    <xf numFmtId="165" fontId="21" fillId="0" borderId="0" applyFill="0" applyBorder="0" applyAlignment="0">
      <protection/>
    </xf>
    <xf numFmtId="170" fontId="21" fillId="0" borderId="0" applyFill="0" applyBorder="0" applyAlignment="0">
      <protection/>
    </xf>
    <xf numFmtId="166" fontId="21" fillId="0" borderId="0" applyFill="0" applyBorder="0" applyAlignment="0">
      <protection/>
    </xf>
    <xf numFmtId="0" fontId="37" fillId="20" borderId="4" applyNumberFormat="0" applyAlignment="0" applyProtection="0"/>
    <xf numFmtId="0" fontId="40" fillId="21" borderId="5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21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2" fillId="0" borderId="0" applyFill="0" applyBorder="0" applyAlignment="0">
      <protection/>
    </xf>
    <xf numFmtId="166" fontId="22" fillId="0" borderId="0" applyFill="0" applyBorder="0" applyAlignment="0">
      <protection/>
    </xf>
    <xf numFmtId="165" fontId="22" fillId="0" borderId="0" applyFill="0" applyBorder="0" applyAlignment="0">
      <protection/>
    </xf>
    <xf numFmtId="170" fontId="22" fillId="0" borderId="0" applyFill="0" applyBorder="0" applyAlignment="0">
      <protection/>
    </xf>
    <xf numFmtId="166" fontId="22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5" fillId="22" borderId="0" applyNumberFormat="0" applyBorder="0" applyAlignment="0" applyProtection="0"/>
    <xf numFmtId="38" fontId="24" fillId="20" borderId="0" applyNumberFormat="0" applyBorder="0" applyAlignment="0" applyProtection="0"/>
    <xf numFmtId="0" fontId="25" fillId="0" borderId="6" applyNumberFormat="0" applyAlignment="0" applyProtection="0"/>
    <xf numFmtId="0" fontId="25" fillId="0" borderId="7">
      <alignment horizontal="left" vertical="center"/>
      <protection/>
    </xf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7" borderId="4" applyNumberFormat="0" applyAlignment="0" applyProtection="0"/>
    <xf numFmtId="10" fontId="24" fillId="23" borderId="11" applyNumberFormat="0" applyBorder="0" applyAlignment="0" applyProtection="0"/>
    <xf numFmtId="0" fontId="28" fillId="20" borderId="12" applyNumberFormat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9" fillId="7" borderId="4" applyNumberFormat="0" applyAlignment="0" applyProtection="0"/>
    <xf numFmtId="165" fontId="30" fillId="0" borderId="0" applyFill="0" applyBorder="0" applyAlignment="0">
      <protection/>
    </xf>
    <xf numFmtId="166" fontId="30" fillId="0" borderId="0" applyFill="0" applyBorder="0" applyAlignment="0">
      <protection/>
    </xf>
    <xf numFmtId="165" fontId="30" fillId="0" borderId="0" applyFill="0" applyBorder="0" applyAlignment="0">
      <protection/>
    </xf>
    <xf numFmtId="170" fontId="30" fillId="0" borderId="0" applyFill="0" applyBorder="0" applyAlignment="0">
      <protection/>
    </xf>
    <xf numFmtId="166" fontId="30" fillId="0" borderId="0" applyFill="0" applyBorder="0" applyAlignment="0">
      <protection/>
    </xf>
    <xf numFmtId="0" fontId="39" fillId="0" borderId="13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5" fontId="3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77" fontId="2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5" fontId="0" fillId="0" borderId="0">
      <alignment/>
      <protection/>
    </xf>
    <xf numFmtId="178" fontId="0" fillId="0" borderId="0">
      <alignment/>
      <protection/>
    </xf>
    <xf numFmtId="175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21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21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14" applyNumberFormat="0" applyFont="0" applyAlignment="0" applyProtection="0"/>
    <xf numFmtId="0" fontId="69" fillId="25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" fillId="23" borderId="14" applyNumberFormat="0" applyFont="0" applyAlignment="0" applyProtection="0"/>
    <xf numFmtId="0" fontId="3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5" fontId="36" fillId="0" borderId="0" applyFill="0" applyBorder="0" applyAlignment="0">
      <protection/>
    </xf>
    <xf numFmtId="166" fontId="36" fillId="0" borderId="0" applyFill="0" applyBorder="0" applyAlignment="0">
      <protection/>
    </xf>
    <xf numFmtId="165" fontId="36" fillId="0" borderId="0" applyFill="0" applyBorder="0" applyAlignment="0">
      <protection/>
    </xf>
    <xf numFmtId="170" fontId="36" fillId="0" borderId="0" applyFill="0" applyBorder="0" applyAlignment="0">
      <protection/>
    </xf>
    <xf numFmtId="166" fontId="36" fillId="0" borderId="0" applyFill="0" applyBorder="0" applyAlignment="0">
      <protection/>
    </xf>
    <xf numFmtId="0" fontId="37" fillId="20" borderId="4" applyNumberFormat="0" applyAlignment="0" applyProtection="0"/>
    <xf numFmtId="0" fontId="38" fillId="0" borderId="16" applyNumberFormat="0" applyFill="0" applyAlignment="0" applyProtection="0"/>
    <xf numFmtId="0" fontId="39" fillId="0" borderId="13" applyNumberFormat="0" applyFill="0" applyAlignment="0" applyProtection="0"/>
    <xf numFmtId="49" fontId="21" fillId="0" borderId="0" applyFill="0" applyBorder="0" applyAlignment="0">
      <protection/>
    </xf>
    <xf numFmtId="182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40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17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>
      <alignment/>
      <protection/>
    </xf>
  </cellStyleXfs>
  <cellXfs count="3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844" applyFont="1" applyFill="1">
      <alignment/>
      <protection/>
    </xf>
    <xf numFmtId="0" fontId="3" fillId="0" borderId="0" xfId="844" applyFont="1" applyFill="1" applyAlignment="1">
      <alignment horizontal="right"/>
      <protection/>
    </xf>
    <xf numFmtId="0" fontId="3" fillId="0" borderId="0" xfId="844" applyFont="1" applyFill="1">
      <alignment/>
      <protection/>
    </xf>
    <xf numFmtId="49" fontId="3" fillId="0" borderId="0" xfId="844" applyNumberFormat="1" applyFont="1" applyFill="1" applyAlignment="1">
      <alignment horizontal="left"/>
      <protection/>
    </xf>
    <xf numFmtId="49" fontId="4" fillId="0" borderId="0" xfId="844" applyNumberFormat="1" applyFont="1" applyFill="1" applyAlignment="1">
      <alignment horizontal="center"/>
      <protection/>
    </xf>
    <xf numFmtId="0" fontId="3" fillId="0" borderId="0" xfId="844" applyNumberFormat="1" applyFont="1" applyFill="1" applyAlignment="1">
      <alignment horizontal="center"/>
      <protection/>
    </xf>
    <xf numFmtId="0" fontId="5" fillId="0" borderId="0" xfId="844" applyNumberFormat="1" applyFont="1" applyFill="1">
      <alignment/>
      <protection/>
    </xf>
    <xf numFmtId="0" fontId="5" fillId="0" borderId="0" xfId="844" applyFont="1" applyFill="1">
      <alignment/>
      <protection/>
    </xf>
    <xf numFmtId="0" fontId="4" fillId="0" borderId="0" xfId="844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844" applyFont="1" applyFill="1" applyAlignment="1">
      <alignment vertical="center"/>
      <protection/>
    </xf>
    <xf numFmtId="0" fontId="3" fillId="0" borderId="0" xfId="844" applyFont="1" applyFill="1" applyAlignment="1">
      <alignment horizontal="right" vertical="center"/>
      <protection/>
    </xf>
    <xf numFmtId="0" fontId="3" fillId="0" borderId="0" xfId="844" applyFont="1" applyFill="1" applyAlignment="1">
      <alignment vertical="center"/>
      <protection/>
    </xf>
    <xf numFmtId="49" fontId="3" fillId="0" borderId="0" xfId="844" applyNumberFormat="1" applyFont="1" applyFill="1" applyAlignment="1">
      <alignment horizontal="left" vertical="center"/>
      <protection/>
    </xf>
    <xf numFmtId="49" fontId="4" fillId="0" borderId="0" xfId="844" applyNumberFormat="1" applyFont="1" applyFill="1" applyAlignment="1">
      <alignment horizontal="center" vertical="center"/>
      <protection/>
    </xf>
    <xf numFmtId="0" fontId="3" fillId="0" borderId="0" xfId="844" applyNumberFormat="1" applyFont="1" applyFill="1" applyAlignment="1">
      <alignment horizontal="center" vertical="center"/>
      <protection/>
    </xf>
    <xf numFmtId="49" fontId="8" fillId="0" borderId="0" xfId="642" applyNumberFormat="1" applyFont="1" applyFill="1" applyAlignment="1">
      <alignment horizontal="right"/>
      <protection/>
    </xf>
    <xf numFmtId="0" fontId="5" fillId="0" borderId="0" xfId="844" applyNumberFormat="1" applyFont="1" applyFill="1" applyAlignment="1">
      <alignment vertical="center"/>
      <protection/>
    </xf>
    <xf numFmtId="0" fontId="5" fillId="0" borderId="0" xfId="844" applyFont="1" applyFill="1" applyAlignment="1">
      <alignment vertical="center"/>
      <protection/>
    </xf>
    <xf numFmtId="0" fontId="4" fillId="0" borderId="0" xfId="844" applyFont="1" applyFill="1" applyAlignment="1">
      <alignment vertical="center"/>
      <protection/>
    </xf>
    <xf numFmtId="0" fontId="1" fillId="0" borderId="0" xfId="844" applyFont="1" applyFill="1" applyAlignment="1">
      <alignment horizontal="left"/>
      <protection/>
    </xf>
    <xf numFmtId="0" fontId="9" fillId="0" borderId="0" xfId="844" applyFont="1" applyFill="1" applyAlignment="1">
      <alignment horizontal="right"/>
      <protection/>
    </xf>
    <xf numFmtId="0" fontId="9" fillId="0" borderId="0" xfId="844" applyFont="1" applyFill="1">
      <alignment/>
      <protection/>
    </xf>
    <xf numFmtId="49" fontId="9" fillId="0" borderId="0" xfId="844" applyNumberFormat="1" applyFont="1" applyFill="1" applyAlignment="1">
      <alignment horizontal="left"/>
      <protection/>
    </xf>
    <xf numFmtId="0" fontId="9" fillId="0" borderId="0" xfId="844" applyNumberFormat="1" applyFont="1" applyFill="1" applyAlignment="1">
      <alignment horizontal="center"/>
      <protection/>
    </xf>
    <xf numFmtId="49" fontId="10" fillId="0" borderId="0" xfId="642" applyNumberFormat="1" applyFont="1" applyFill="1" applyAlignment="1">
      <alignment horizontal="right"/>
      <protection/>
    </xf>
    <xf numFmtId="0" fontId="9" fillId="0" borderId="0" xfId="844" applyFont="1" applyFill="1" applyAlignment="1">
      <alignment horizontal="center"/>
      <protection/>
    </xf>
    <xf numFmtId="0" fontId="6" fillId="0" borderId="0" xfId="844" applyFont="1" applyFill="1" applyAlignment="1">
      <alignment horizontal="left"/>
      <protection/>
    </xf>
    <xf numFmtId="49" fontId="6" fillId="0" borderId="0" xfId="844" applyNumberFormat="1" applyFont="1" applyFill="1">
      <alignment/>
      <protection/>
    </xf>
    <xf numFmtId="14" fontId="11" fillId="0" borderId="0" xfId="844" applyNumberFormat="1" applyFont="1" applyFill="1" applyAlignment="1">
      <alignment horizontal="right"/>
      <protection/>
    </xf>
    <xf numFmtId="164" fontId="12" fillId="0" borderId="0" xfId="642" applyNumberFormat="1" applyFont="1" applyFill="1" applyAlignment="1">
      <alignment horizontal="center"/>
      <protection/>
    </xf>
    <xf numFmtId="0" fontId="8" fillId="0" borderId="0" xfId="844" applyFont="1" applyFill="1" applyAlignment="1">
      <alignment horizontal="right"/>
      <protection/>
    </xf>
    <xf numFmtId="0" fontId="8" fillId="0" borderId="0" xfId="844" applyFont="1" applyFill="1" applyAlignment="1">
      <alignment horizontal="center"/>
      <protection/>
    </xf>
    <xf numFmtId="0" fontId="8" fillId="0" borderId="0" xfId="844" applyFont="1" applyFill="1">
      <alignment/>
      <protection/>
    </xf>
    <xf numFmtId="49" fontId="8" fillId="0" borderId="0" xfId="844" applyNumberFormat="1" applyFont="1" applyFill="1" applyAlignment="1">
      <alignment horizontal="left"/>
      <protection/>
    </xf>
    <xf numFmtId="0" fontId="8" fillId="0" borderId="0" xfId="844" applyFont="1" applyFill="1" applyAlignment="1">
      <alignment horizontal="left"/>
      <protection/>
    </xf>
    <xf numFmtId="49" fontId="4" fillId="0" borderId="0" xfId="642" applyNumberFormat="1" applyFont="1" applyFill="1">
      <alignment/>
      <protection/>
    </xf>
    <xf numFmtId="0" fontId="13" fillId="0" borderId="18" xfId="844" applyFont="1" applyFill="1" applyBorder="1" applyAlignment="1">
      <alignment horizontal="center" vertical="center"/>
      <protection/>
    </xf>
    <xf numFmtId="0" fontId="13" fillId="0" borderId="6" xfId="844" applyFont="1" applyFill="1" applyBorder="1" applyAlignment="1">
      <alignment horizontal="center" vertical="center"/>
      <protection/>
    </xf>
    <xf numFmtId="0" fontId="13" fillId="0" borderId="19" xfId="844" applyFont="1" applyFill="1" applyBorder="1" applyAlignment="1">
      <alignment horizontal="right" vertical="center"/>
      <protection/>
    </xf>
    <xf numFmtId="0" fontId="13" fillId="0" borderId="20" xfId="844" applyFont="1" applyFill="1" applyBorder="1" applyAlignment="1">
      <alignment horizontal="left" vertical="center"/>
      <protection/>
    </xf>
    <xf numFmtId="49" fontId="13" fillId="0" borderId="21" xfId="844" applyNumberFormat="1" applyFont="1" applyFill="1" applyBorder="1" applyAlignment="1">
      <alignment horizontal="center" vertical="center"/>
      <protection/>
    </xf>
    <xf numFmtId="0" fontId="13" fillId="0" borderId="20" xfId="844" applyFont="1" applyFill="1" applyBorder="1" applyAlignment="1">
      <alignment horizontal="center" vertical="center"/>
      <protection/>
    </xf>
    <xf numFmtId="0" fontId="13" fillId="0" borderId="21" xfId="844" applyFont="1" applyFill="1" applyBorder="1" applyAlignment="1">
      <alignment horizontal="center" vertical="center"/>
      <protection/>
    </xf>
    <xf numFmtId="49" fontId="13" fillId="0" borderId="19" xfId="844" applyNumberFormat="1" applyFont="1" applyFill="1" applyBorder="1" applyAlignment="1">
      <alignment horizontal="center" vertical="center"/>
      <protection/>
    </xf>
    <xf numFmtId="0" fontId="13" fillId="0" borderId="22" xfId="844" applyFont="1" applyFill="1" applyBorder="1" applyAlignment="1">
      <alignment horizontal="center" vertical="center"/>
      <protection/>
    </xf>
    <xf numFmtId="0" fontId="13" fillId="0" borderId="0" xfId="844" applyFont="1" applyFill="1" applyAlignment="1">
      <alignment vertical="center"/>
      <protection/>
    </xf>
    <xf numFmtId="0" fontId="8" fillId="0" borderId="0" xfId="844" applyFont="1" applyFill="1" applyAlignment="1">
      <alignment vertical="center"/>
      <protection/>
    </xf>
    <xf numFmtId="0" fontId="9" fillId="0" borderId="11" xfId="844" applyFont="1" applyFill="1" applyBorder="1" applyAlignment="1">
      <alignment horizontal="center" vertical="center"/>
      <protection/>
    </xf>
    <xf numFmtId="0" fontId="9" fillId="0" borderId="23" xfId="844" applyFont="1" applyFill="1" applyBorder="1" applyAlignment="1">
      <alignment horizontal="center" vertical="center"/>
      <protection/>
    </xf>
    <xf numFmtId="0" fontId="9" fillId="0" borderId="23" xfId="844" applyFont="1" applyFill="1" applyBorder="1" applyAlignment="1">
      <alignment horizontal="right" vertical="center"/>
      <protection/>
    </xf>
    <xf numFmtId="0" fontId="8" fillId="0" borderId="24" xfId="844" applyFont="1" applyFill="1" applyBorder="1" applyAlignment="1">
      <alignment horizontal="left" vertical="center"/>
      <protection/>
    </xf>
    <xf numFmtId="49" fontId="14" fillId="0" borderId="24" xfId="844" applyNumberFormat="1" applyFont="1" applyFill="1" applyBorder="1" applyAlignment="1">
      <alignment horizontal="center" vertical="center"/>
      <protection/>
    </xf>
    <xf numFmtId="0" fontId="4" fillId="0" borderId="11" xfId="844" applyFont="1" applyFill="1" applyBorder="1" applyAlignment="1">
      <alignment horizontal="left" vertical="center"/>
      <protection/>
    </xf>
    <xf numFmtId="1" fontId="13" fillId="0" borderId="11" xfId="844" applyNumberFormat="1" applyFont="1" applyFill="1" applyBorder="1" applyAlignment="1">
      <alignment horizontal="center" vertical="center"/>
      <protection/>
    </xf>
    <xf numFmtId="164" fontId="8" fillId="0" borderId="11" xfId="844" applyNumberFormat="1" applyFont="1" applyFill="1" applyBorder="1" applyAlignment="1">
      <alignment horizontal="center" vertical="center"/>
      <protection/>
    </xf>
    <xf numFmtId="0" fontId="4" fillId="0" borderId="11" xfId="844" applyFont="1" applyFill="1" applyBorder="1" applyAlignment="1">
      <alignment horizontal="center" vertical="center"/>
      <protection/>
    </xf>
    <xf numFmtId="0" fontId="5" fillId="0" borderId="0" xfId="844" applyFont="1" applyFill="1" applyBorder="1" applyAlignment="1">
      <alignment horizontal="center" vertical="center"/>
      <protection/>
    </xf>
    <xf numFmtId="0" fontId="4" fillId="0" borderId="0" xfId="844" applyNumberFormat="1" applyFont="1" applyFill="1">
      <alignment/>
      <protection/>
    </xf>
    <xf numFmtId="0" fontId="9" fillId="0" borderId="11" xfId="642" applyFont="1" applyFill="1" applyBorder="1" applyAlignment="1">
      <alignment horizontal="center"/>
      <protection/>
    </xf>
    <xf numFmtId="164" fontId="8" fillId="0" borderId="11" xfId="844" applyNumberFormat="1" applyFont="1" applyFill="1" applyBorder="1" applyAlignment="1">
      <alignment horizontal="center" vertical="center"/>
      <protection/>
    </xf>
    <xf numFmtId="1" fontId="4" fillId="0" borderId="11" xfId="844" applyNumberFormat="1" applyFont="1" applyFill="1" applyBorder="1" applyAlignment="1">
      <alignment horizontal="center" vertical="center"/>
      <protection/>
    </xf>
    <xf numFmtId="0" fontId="5" fillId="0" borderId="0" xfId="844" applyFont="1" applyFill="1" applyAlignment="1">
      <alignment vertical="center"/>
      <protection/>
    </xf>
    <xf numFmtId="0" fontId="42" fillId="0" borderId="0" xfId="0" applyFont="1" applyFill="1" applyAlignment="1">
      <alignment/>
    </xf>
    <xf numFmtId="0" fontId="1" fillId="0" borderId="0" xfId="638" applyFont="1" applyFill="1">
      <alignment/>
      <protection/>
    </xf>
    <xf numFmtId="0" fontId="1" fillId="0" borderId="0" xfId="642" applyFont="1" applyFill="1">
      <alignment/>
      <protection/>
    </xf>
    <xf numFmtId="49" fontId="6" fillId="0" borderId="0" xfId="642" applyNumberFormat="1" applyFont="1" applyFill="1" applyAlignment="1">
      <alignment horizontal="center"/>
      <protection/>
    </xf>
    <xf numFmtId="49" fontId="9" fillId="0" borderId="0" xfId="642" applyNumberFormat="1" applyFont="1" applyFill="1">
      <alignment/>
      <protection/>
    </xf>
    <xf numFmtId="49" fontId="43" fillId="0" borderId="0" xfId="642" applyNumberFormat="1" applyFont="1" applyFill="1" applyAlignment="1">
      <alignment horizontal="right"/>
      <protection/>
    </xf>
    <xf numFmtId="0" fontId="6" fillId="0" borderId="0" xfId="638" applyFont="1" applyFill="1" applyAlignment="1">
      <alignment vertical="center"/>
      <protection/>
    </xf>
    <xf numFmtId="0" fontId="7" fillId="0" borderId="0" xfId="638" applyFont="1" applyFill="1" applyAlignment="1">
      <alignment vertical="center"/>
      <protection/>
    </xf>
    <xf numFmtId="0" fontId="7" fillId="0" borderId="0" xfId="642" applyFont="1" applyFill="1" applyAlignment="1">
      <alignment vertical="center"/>
      <protection/>
    </xf>
    <xf numFmtId="0" fontId="9" fillId="0" borderId="0" xfId="642" applyNumberFormat="1" applyFont="1" applyFill="1">
      <alignment/>
      <protection/>
    </xf>
    <xf numFmtId="49" fontId="6" fillId="0" borderId="0" xfId="642" applyNumberFormat="1" applyFont="1" applyFill="1" applyAlignment="1">
      <alignment horizontal="left"/>
      <protection/>
    </xf>
    <xf numFmtId="0" fontId="9" fillId="0" borderId="0" xfId="642" applyNumberFormat="1" applyFont="1" applyFill="1" applyAlignment="1">
      <alignment horizontal="center"/>
      <protection/>
    </xf>
    <xf numFmtId="49" fontId="9" fillId="0" borderId="0" xfId="642" applyNumberFormat="1" applyFont="1" applyFill="1" applyAlignment="1">
      <alignment horizontal="center"/>
      <protection/>
    </xf>
    <xf numFmtId="0" fontId="6" fillId="0" borderId="0" xfId="642" applyFont="1" applyFill="1" applyAlignment="1">
      <alignment horizontal="left"/>
      <protection/>
    </xf>
    <xf numFmtId="0" fontId="9" fillId="0" borderId="0" xfId="642" applyFont="1" applyFill="1" applyAlignment="1">
      <alignment horizontal="center"/>
      <protection/>
    </xf>
    <xf numFmtId="0" fontId="4" fillId="0" borderId="0" xfId="642" applyFont="1" applyFill="1" applyAlignment="1">
      <alignment horizontal="center"/>
      <protection/>
    </xf>
    <xf numFmtId="0" fontId="9" fillId="0" borderId="0" xfId="642" applyFont="1" applyFill="1">
      <alignment/>
      <protection/>
    </xf>
    <xf numFmtId="0" fontId="8" fillId="0" borderId="0" xfId="642" applyFont="1" applyFill="1">
      <alignment/>
      <protection/>
    </xf>
    <xf numFmtId="0" fontId="8" fillId="0" borderId="18" xfId="642" applyNumberFormat="1" applyFont="1" applyFill="1" applyBorder="1" applyAlignment="1">
      <alignment horizontal="center" vertical="center"/>
      <protection/>
    </xf>
    <xf numFmtId="0" fontId="8" fillId="0" borderId="21" xfId="642" applyNumberFormat="1" applyFont="1" applyFill="1" applyBorder="1" applyAlignment="1">
      <alignment horizontal="center" vertical="center"/>
      <protection/>
    </xf>
    <xf numFmtId="49" fontId="8" fillId="0" borderId="6" xfId="642" applyNumberFormat="1" applyFont="1" applyFill="1" applyBorder="1" applyAlignment="1">
      <alignment horizontal="center" vertical="center"/>
      <protection/>
    </xf>
    <xf numFmtId="49" fontId="8" fillId="0" borderId="19" xfId="642" applyNumberFormat="1" applyFont="1" applyFill="1" applyBorder="1" applyAlignment="1">
      <alignment horizontal="right" vertical="center"/>
      <protection/>
    </xf>
    <xf numFmtId="49" fontId="8" fillId="0" borderId="20" xfId="642" applyNumberFormat="1" applyFont="1" applyFill="1" applyBorder="1" applyAlignment="1">
      <alignment horizontal="left" vertical="center"/>
      <protection/>
    </xf>
    <xf numFmtId="49" fontId="13" fillId="0" borderId="25" xfId="642" applyNumberFormat="1" applyFont="1" applyFill="1" applyBorder="1" applyAlignment="1">
      <alignment horizontal="center" vertical="center"/>
      <protection/>
    </xf>
    <xf numFmtId="0" fontId="13" fillId="0" borderId="25" xfId="642" applyFont="1" applyFill="1" applyBorder="1" applyAlignment="1">
      <alignment horizontal="center" vertical="center"/>
      <protection/>
    </xf>
    <xf numFmtId="0" fontId="8" fillId="0" borderId="26" xfId="642" applyFont="1" applyFill="1" applyBorder="1" applyAlignment="1">
      <alignment horizontal="center" vertical="center"/>
      <protection/>
    </xf>
    <xf numFmtId="0" fontId="8" fillId="0" borderId="27" xfId="642" applyFont="1" applyFill="1" applyBorder="1" applyAlignment="1">
      <alignment horizontal="center" vertical="center"/>
      <protection/>
    </xf>
    <xf numFmtId="0" fontId="13" fillId="0" borderId="27" xfId="642" applyFont="1" applyFill="1" applyBorder="1" applyAlignment="1">
      <alignment horizontal="center" vertical="center"/>
      <protection/>
    </xf>
    <xf numFmtId="0" fontId="8" fillId="0" borderId="28" xfId="642" applyFont="1" applyFill="1" applyBorder="1" applyAlignment="1">
      <alignment horizontal="center" vertical="center"/>
      <protection/>
    </xf>
    <xf numFmtId="0" fontId="13" fillId="0" borderId="29" xfId="642" applyFont="1" applyFill="1" applyBorder="1" applyAlignment="1">
      <alignment horizontal="center" vertical="center"/>
      <protection/>
    </xf>
    <xf numFmtId="0" fontId="8" fillId="0" borderId="0" xfId="642" applyFont="1" applyFill="1">
      <alignment/>
      <protection/>
    </xf>
    <xf numFmtId="0" fontId="9" fillId="0" borderId="11" xfId="638" applyNumberFormat="1" applyFont="1" applyFill="1" applyBorder="1" applyAlignment="1">
      <alignment horizontal="center" vertical="center"/>
      <protection/>
    </xf>
    <xf numFmtId="0" fontId="9" fillId="0" borderId="23" xfId="638" applyFont="1" applyFill="1" applyBorder="1" applyAlignment="1">
      <alignment horizontal="right" vertical="center"/>
      <protection/>
    </xf>
    <xf numFmtId="0" fontId="8" fillId="0" borderId="24" xfId="638" applyFont="1" applyFill="1" applyBorder="1" applyAlignment="1">
      <alignment horizontal="left" vertical="center"/>
      <protection/>
    </xf>
    <xf numFmtId="49" fontId="4" fillId="0" borderId="24" xfId="638" applyNumberFormat="1" applyFont="1" applyFill="1" applyBorder="1" applyAlignment="1">
      <alignment horizontal="center" vertical="center"/>
      <protection/>
    </xf>
    <xf numFmtId="0" fontId="4" fillId="0" borderId="11" xfId="638" applyFont="1" applyFill="1" applyBorder="1" applyAlignment="1">
      <alignment horizontal="left" vertical="center"/>
      <protection/>
    </xf>
    <xf numFmtId="49" fontId="4" fillId="0" borderId="11" xfId="638" applyNumberFormat="1" applyFont="1" applyFill="1" applyBorder="1" applyAlignment="1">
      <alignment horizontal="left" vertical="center"/>
      <protection/>
    </xf>
    <xf numFmtId="1" fontId="13" fillId="0" borderId="11" xfId="642" applyNumberFormat="1" applyFont="1" applyFill="1" applyBorder="1" applyAlignment="1">
      <alignment horizontal="center" vertical="center"/>
      <protection/>
    </xf>
    <xf numFmtId="2" fontId="14" fillId="0" borderId="11" xfId="642" applyNumberFormat="1" applyFont="1" applyFill="1" applyBorder="1" applyAlignment="1">
      <alignment horizontal="center" vertical="center"/>
      <protection/>
    </xf>
    <xf numFmtId="1" fontId="4" fillId="0" borderId="11" xfId="642" applyNumberFormat="1" applyFont="1" applyFill="1" applyBorder="1" applyAlignment="1">
      <alignment horizontal="center" vertical="center"/>
      <protection/>
    </xf>
    <xf numFmtId="2" fontId="8" fillId="0" borderId="11" xfId="642" applyNumberFormat="1" applyFont="1" applyFill="1" applyBorder="1" applyAlignment="1">
      <alignment horizontal="center" vertical="center"/>
      <protection/>
    </xf>
    <xf numFmtId="2" fontId="9" fillId="0" borderId="11" xfId="642" applyNumberFormat="1" applyFont="1" applyFill="1" applyBorder="1" applyAlignment="1">
      <alignment horizontal="center" vertical="center"/>
      <protection/>
    </xf>
    <xf numFmtId="49" fontId="5" fillId="0" borderId="0" xfId="638" applyNumberFormat="1" applyFont="1" applyFill="1" applyAlignment="1">
      <alignment horizontal="center"/>
      <protection/>
    </xf>
    <xf numFmtId="49" fontId="9" fillId="0" borderId="0" xfId="638" applyNumberFormat="1" applyFont="1" applyFill="1">
      <alignment/>
      <protection/>
    </xf>
    <xf numFmtId="0" fontId="5" fillId="0" borderId="11" xfId="638" applyFont="1" applyFill="1" applyBorder="1" applyAlignment="1">
      <alignment horizontal="left" vertical="center"/>
      <protection/>
    </xf>
    <xf numFmtId="49" fontId="8" fillId="0" borderId="0" xfId="642" applyNumberFormat="1" applyFont="1" applyFill="1">
      <alignment/>
      <protection/>
    </xf>
    <xf numFmtId="0" fontId="44" fillId="0" borderId="0" xfId="170" applyFont="1" applyFill="1" applyAlignment="1">
      <alignment horizontal="center"/>
      <protection/>
    </xf>
    <xf numFmtId="0" fontId="45" fillId="0" borderId="0" xfId="844" applyFont="1" applyFill="1" applyAlignment="1">
      <alignment horizontal="center"/>
      <protection/>
    </xf>
    <xf numFmtId="0" fontId="46" fillId="0" borderId="0" xfId="170" applyFont="1" applyFill="1" applyAlignment="1">
      <alignment horizontal="center"/>
      <protection/>
    </xf>
    <xf numFmtId="49" fontId="44" fillId="0" borderId="0" xfId="170" applyNumberFormat="1" applyFont="1" applyFill="1" applyAlignment="1">
      <alignment horizontal="center"/>
      <protection/>
    </xf>
    <xf numFmtId="0" fontId="45" fillId="0" borderId="0" xfId="844" applyFont="1" applyFill="1" applyAlignment="1">
      <alignment horizontal="center" vertical="center"/>
      <protection/>
    </xf>
    <xf numFmtId="0" fontId="45" fillId="0" borderId="11" xfId="170" applyFont="1" applyFill="1" applyBorder="1" applyAlignment="1">
      <alignment horizontal="left" vertical="center"/>
      <protection/>
    </xf>
    <xf numFmtId="49" fontId="9" fillId="0" borderId="30" xfId="850" applyNumberFormat="1" applyFont="1" applyFill="1" applyBorder="1" applyAlignment="1">
      <alignment horizontal="center" vertical="center"/>
      <protection/>
    </xf>
    <xf numFmtId="49" fontId="9" fillId="0" borderId="11" xfId="642" applyNumberFormat="1" applyFont="1" applyFill="1" applyBorder="1" applyAlignment="1">
      <alignment horizontal="center" vertical="center"/>
      <protection/>
    </xf>
    <xf numFmtId="0" fontId="4" fillId="0" borderId="30" xfId="850" applyNumberFormat="1" applyFont="1" applyFill="1" applyBorder="1" applyAlignment="1">
      <alignment horizontal="center" vertical="center"/>
      <protection/>
    </xf>
    <xf numFmtId="0" fontId="46" fillId="0" borderId="11" xfId="170" applyFont="1" applyFill="1" applyBorder="1" applyAlignment="1">
      <alignment horizontal="left" vertical="center"/>
      <protection/>
    </xf>
    <xf numFmtId="49" fontId="46" fillId="0" borderId="11" xfId="170" applyNumberFormat="1" applyFont="1" applyFill="1" applyBorder="1" applyAlignment="1">
      <alignment horizontal="center" vertical="center"/>
      <protection/>
    </xf>
    <xf numFmtId="0" fontId="47" fillId="0" borderId="24" xfId="170" applyFont="1" applyFill="1" applyBorder="1" applyAlignment="1">
      <alignment horizontal="left" vertical="center"/>
      <protection/>
    </xf>
    <xf numFmtId="0" fontId="44" fillId="0" borderId="23" xfId="170" applyFont="1" applyFill="1" applyBorder="1" applyAlignment="1">
      <alignment horizontal="right" vertical="center"/>
      <protection/>
    </xf>
    <xf numFmtId="49" fontId="44" fillId="0" borderId="11" xfId="170" applyNumberFormat="1" applyFont="1" applyFill="1" applyBorder="1" applyAlignment="1">
      <alignment horizontal="center" vertical="center"/>
      <protection/>
    </xf>
    <xf numFmtId="0" fontId="44" fillId="0" borderId="11" xfId="170" applyNumberFormat="1" applyFont="1" applyFill="1" applyBorder="1" applyAlignment="1">
      <alignment horizontal="center" vertical="center"/>
      <protection/>
    </xf>
    <xf numFmtId="0" fontId="47" fillId="0" borderId="0" xfId="170" applyFont="1" applyFill="1" applyAlignment="1">
      <alignment horizontal="center"/>
      <protection/>
    </xf>
    <xf numFmtId="0" fontId="48" fillId="0" borderId="22" xfId="170" applyFont="1" applyFill="1" applyBorder="1" applyAlignment="1">
      <alignment horizontal="center" vertical="center"/>
      <protection/>
    </xf>
    <xf numFmtId="0" fontId="48" fillId="0" borderId="21" xfId="170" applyFont="1" applyFill="1" applyBorder="1" applyAlignment="1">
      <alignment horizontal="center" vertical="center"/>
      <protection/>
    </xf>
    <xf numFmtId="2" fontId="48" fillId="0" borderId="21" xfId="170" applyNumberFormat="1" applyFont="1" applyFill="1" applyBorder="1" applyAlignment="1">
      <alignment horizontal="center" vertical="center"/>
      <protection/>
    </xf>
    <xf numFmtId="0" fontId="48" fillId="0" borderId="20" xfId="170" applyFont="1" applyFill="1" applyBorder="1" applyAlignment="1">
      <alignment horizontal="left" vertical="center"/>
      <protection/>
    </xf>
    <xf numFmtId="0" fontId="48" fillId="0" borderId="19" xfId="170" applyFont="1" applyFill="1" applyBorder="1" applyAlignment="1">
      <alignment horizontal="right" vertical="center"/>
      <protection/>
    </xf>
    <xf numFmtId="49" fontId="47" fillId="0" borderId="21" xfId="170" applyNumberFormat="1" applyFont="1" applyFill="1" applyBorder="1" applyAlignment="1">
      <alignment horizontal="center" vertical="center"/>
      <protection/>
    </xf>
    <xf numFmtId="49" fontId="47" fillId="0" borderId="20" xfId="170" applyNumberFormat="1" applyFont="1" applyFill="1" applyBorder="1" applyAlignment="1">
      <alignment horizontal="center" vertical="center"/>
      <protection/>
    </xf>
    <xf numFmtId="49" fontId="47" fillId="0" borderId="18" xfId="170" applyNumberFormat="1" applyFont="1" applyFill="1" applyBorder="1" applyAlignment="1">
      <alignment horizontal="center" vertical="center"/>
      <protection/>
    </xf>
    <xf numFmtId="0" fontId="49" fillId="0" borderId="0" xfId="170" applyFont="1" applyFill="1" applyAlignment="1">
      <alignment horizontal="center"/>
      <protection/>
    </xf>
    <xf numFmtId="49" fontId="49" fillId="0" borderId="0" xfId="170" applyNumberFormat="1" applyFont="1" applyFill="1" applyAlignment="1">
      <alignment horizontal="center"/>
      <protection/>
    </xf>
    <xf numFmtId="0" fontId="50" fillId="0" borderId="0" xfId="170" applyFont="1" applyFill="1" applyAlignment="1">
      <alignment horizontal="left"/>
      <protection/>
    </xf>
    <xf numFmtId="14" fontId="51" fillId="0" borderId="0" xfId="170" applyNumberFormat="1" applyFont="1" applyFill="1" applyAlignment="1">
      <alignment horizontal="right"/>
      <protection/>
    </xf>
    <xf numFmtId="49" fontId="52" fillId="0" borderId="0" xfId="170" applyNumberFormat="1" applyFont="1" applyFill="1" applyAlignment="1">
      <alignment horizontal="left"/>
      <protection/>
    </xf>
    <xf numFmtId="0" fontId="53" fillId="0" borderId="0" xfId="170" applyFont="1" applyFill="1" applyAlignment="1">
      <alignment horizontal="left"/>
      <protection/>
    </xf>
    <xf numFmtId="49" fontId="44" fillId="0" borderId="0" xfId="170" applyNumberFormat="1" applyFont="1" applyFill="1">
      <alignment/>
      <protection/>
    </xf>
    <xf numFmtId="49" fontId="53" fillId="0" borderId="0" xfId="170" applyNumberFormat="1" applyFont="1" applyFill="1" applyAlignment="1">
      <alignment horizontal="center"/>
      <protection/>
    </xf>
    <xf numFmtId="49" fontId="47" fillId="0" borderId="0" xfId="170" applyNumberFormat="1" applyFont="1" applyFill="1">
      <alignment/>
      <protection/>
    </xf>
    <xf numFmtId="0" fontId="52" fillId="0" borderId="0" xfId="170" applyFont="1" applyFill="1" applyAlignment="1">
      <alignment vertical="center"/>
      <protection/>
    </xf>
    <xf numFmtId="0" fontId="42" fillId="0" borderId="0" xfId="170" applyFont="1" applyFill="1">
      <alignment/>
      <protection/>
    </xf>
    <xf numFmtId="0" fontId="54" fillId="0" borderId="0" xfId="844" applyFont="1" applyFill="1">
      <alignment/>
      <protection/>
    </xf>
    <xf numFmtId="0" fontId="55" fillId="0" borderId="0" xfId="170" applyFont="1" applyFill="1">
      <alignment/>
      <protection/>
    </xf>
    <xf numFmtId="0" fontId="1" fillId="0" borderId="0" xfId="170" applyFont="1" applyFill="1">
      <alignment/>
      <protection/>
    </xf>
    <xf numFmtId="2" fontId="44" fillId="0" borderId="11" xfId="849" applyNumberFormat="1" applyFont="1" applyFill="1" applyBorder="1" applyAlignment="1">
      <alignment horizontal="center" vertical="center"/>
      <protection/>
    </xf>
    <xf numFmtId="2" fontId="47" fillId="0" borderId="11" xfId="849" applyNumberFormat="1" applyFont="1" applyFill="1" applyBorder="1" applyAlignment="1">
      <alignment horizontal="center" vertical="center"/>
      <protection/>
    </xf>
    <xf numFmtId="2" fontId="56" fillId="0" borderId="11" xfId="849" applyNumberFormat="1" applyFont="1" applyFill="1" applyBorder="1" applyAlignment="1">
      <alignment horizontal="center" vertical="center"/>
      <protection/>
    </xf>
    <xf numFmtId="1" fontId="56" fillId="0" borderId="11" xfId="849" applyNumberFormat="1" applyFont="1" applyFill="1" applyBorder="1" applyAlignment="1">
      <alignment horizontal="center" vertical="center"/>
      <protection/>
    </xf>
    <xf numFmtId="1" fontId="48" fillId="0" borderId="11" xfId="849" applyNumberFormat="1" applyFont="1" applyFill="1" applyBorder="1" applyAlignment="1">
      <alignment horizontal="center" vertical="center"/>
      <protection/>
    </xf>
    <xf numFmtId="0" fontId="4" fillId="0" borderId="25" xfId="642" applyFont="1" applyFill="1" applyBorder="1" applyAlignment="1">
      <alignment horizontal="center" vertical="center"/>
      <protection/>
    </xf>
    <xf numFmtId="0" fontId="4" fillId="0" borderId="29" xfId="642" applyFont="1" applyFill="1" applyBorder="1" applyAlignment="1">
      <alignment horizontal="center" vertical="center"/>
      <protection/>
    </xf>
    <xf numFmtId="0" fontId="8" fillId="0" borderId="28" xfId="642" applyFont="1" applyFill="1" applyBorder="1" applyAlignment="1">
      <alignment horizontal="center" vertical="center"/>
      <protection/>
    </xf>
    <xf numFmtId="0" fontId="8" fillId="0" borderId="27" xfId="642" applyFont="1" applyFill="1" applyBorder="1" applyAlignment="1">
      <alignment horizontal="center" vertical="center"/>
      <protection/>
    </xf>
    <xf numFmtId="0" fontId="13" fillId="0" borderId="27" xfId="642" applyFont="1" applyFill="1" applyBorder="1" applyAlignment="1">
      <alignment horizontal="center" vertical="center"/>
      <protection/>
    </xf>
    <xf numFmtId="0" fontId="8" fillId="0" borderId="26" xfId="642" applyFont="1" applyFill="1" applyBorder="1" applyAlignment="1">
      <alignment horizontal="center" vertical="center"/>
      <protection/>
    </xf>
    <xf numFmtId="0" fontId="4" fillId="0" borderId="20" xfId="844" applyFont="1" applyFill="1" applyBorder="1" applyAlignment="1">
      <alignment horizontal="center" vertical="center"/>
      <protection/>
    </xf>
    <xf numFmtId="49" fontId="4" fillId="0" borderId="25" xfId="642" applyNumberFormat="1" applyFont="1" applyFill="1" applyBorder="1" applyAlignment="1">
      <alignment horizontal="center" vertical="center"/>
      <protection/>
    </xf>
    <xf numFmtId="49" fontId="9" fillId="0" borderId="20" xfId="642" applyNumberFormat="1" applyFont="1" applyFill="1" applyBorder="1" applyAlignment="1">
      <alignment horizontal="left" vertical="center"/>
      <protection/>
    </xf>
    <xf numFmtId="49" fontId="9" fillId="0" borderId="19" xfId="642" applyNumberFormat="1" applyFont="1" applyFill="1" applyBorder="1" applyAlignment="1">
      <alignment horizontal="right" vertical="center"/>
      <protection/>
    </xf>
    <xf numFmtId="49" fontId="9" fillId="0" borderId="6" xfId="642" applyNumberFormat="1" applyFont="1" applyFill="1" applyBorder="1" applyAlignment="1">
      <alignment horizontal="center" vertical="center"/>
      <protection/>
    </xf>
    <xf numFmtId="0" fontId="9" fillId="0" borderId="21" xfId="642" applyNumberFormat="1" applyFont="1" applyFill="1" applyBorder="1" applyAlignment="1">
      <alignment horizontal="center" vertical="center"/>
      <protection/>
    </xf>
    <xf numFmtId="0" fontId="9" fillId="0" borderId="18" xfId="642" applyNumberFormat="1" applyFont="1" applyFill="1" applyBorder="1" applyAlignment="1">
      <alignment horizontal="center" vertical="center"/>
      <protection/>
    </xf>
    <xf numFmtId="0" fontId="6" fillId="0" borderId="0" xfId="847" applyFont="1" applyFill="1">
      <alignment/>
      <protection/>
    </xf>
    <xf numFmtId="1" fontId="4" fillId="0" borderId="11" xfId="845" applyNumberFormat="1" applyFont="1" applyFill="1" applyBorder="1" applyAlignment="1">
      <alignment horizontal="center" vertical="center"/>
      <protection/>
    </xf>
    <xf numFmtId="2" fontId="8" fillId="0" borderId="11" xfId="642" applyNumberFormat="1" applyFont="1" applyFill="1" applyBorder="1" applyAlignment="1">
      <alignment horizontal="center"/>
      <protection/>
    </xf>
    <xf numFmtId="180" fontId="4" fillId="0" borderId="11" xfId="642" applyNumberFormat="1" applyFont="1" applyFill="1" applyBorder="1" applyAlignment="1">
      <alignment horizontal="center"/>
      <protection/>
    </xf>
    <xf numFmtId="186" fontId="4" fillId="0" borderId="11" xfId="642" applyNumberFormat="1" applyFont="1" applyFill="1" applyBorder="1" applyAlignment="1">
      <alignment horizontal="center"/>
      <protection/>
    </xf>
    <xf numFmtId="2" fontId="57" fillId="0" borderId="11" xfId="642" applyNumberFormat="1" applyFont="1" applyFill="1" applyBorder="1" applyAlignment="1">
      <alignment horizontal="center"/>
      <protection/>
    </xf>
    <xf numFmtId="0" fontId="4" fillId="0" borderId="11" xfId="845" applyFont="1" applyFill="1" applyBorder="1" applyAlignment="1">
      <alignment horizontal="center" vertical="center"/>
      <protection/>
    </xf>
    <xf numFmtId="49" fontId="5" fillId="0" borderId="0" xfId="844" applyNumberFormat="1" applyFont="1" applyFill="1">
      <alignment/>
      <protection/>
    </xf>
    <xf numFmtId="49" fontId="5" fillId="0" borderId="0" xfId="844" applyNumberFormat="1" applyFont="1" applyFill="1" applyAlignment="1">
      <alignment vertical="center"/>
      <protection/>
    </xf>
    <xf numFmtId="164" fontId="12" fillId="0" borderId="0" xfId="0" applyNumberFormat="1" applyFont="1" applyFill="1" applyAlignment="1">
      <alignment horizontal="center"/>
    </xf>
    <xf numFmtId="0" fontId="4" fillId="0" borderId="18" xfId="844" applyFont="1" applyFill="1" applyBorder="1" applyAlignment="1">
      <alignment horizontal="center" vertical="center"/>
      <protection/>
    </xf>
    <xf numFmtId="0" fontId="4" fillId="0" borderId="6" xfId="844" applyFont="1" applyFill="1" applyBorder="1" applyAlignment="1">
      <alignment horizontal="center" vertical="center"/>
      <protection/>
    </xf>
    <xf numFmtId="0" fontId="4" fillId="0" borderId="19" xfId="844" applyFont="1" applyFill="1" applyBorder="1" applyAlignment="1">
      <alignment horizontal="right" vertical="center"/>
      <protection/>
    </xf>
    <xf numFmtId="0" fontId="4" fillId="0" borderId="20" xfId="844" applyFont="1" applyFill="1" applyBorder="1" applyAlignment="1">
      <alignment horizontal="left" vertical="center"/>
      <protection/>
    </xf>
    <xf numFmtId="49" fontId="4" fillId="0" borderId="21" xfId="844" applyNumberFormat="1" applyFont="1" applyFill="1" applyBorder="1" applyAlignment="1">
      <alignment horizontal="center" vertical="center"/>
      <protection/>
    </xf>
    <xf numFmtId="0" fontId="4" fillId="0" borderId="21" xfId="844" applyFont="1" applyFill="1" applyBorder="1" applyAlignment="1">
      <alignment horizontal="center" vertical="center"/>
      <protection/>
    </xf>
    <xf numFmtId="49" fontId="4" fillId="0" borderId="19" xfId="844" applyNumberFormat="1" applyFont="1" applyFill="1" applyBorder="1" applyAlignment="1">
      <alignment horizontal="center" vertical="center"/>
      <protection/>
    </xf>
    <xf numFmtId="0" fontId="4" fillId="0" borderId="22" xfId="844" applyFont="1" applyFill="1" applyBorder="1" applyAlignment="1">
      <alignment horizontal="center" vertical="center"/>
      <protection/>
    </xf>
    <xf numFmtId="0" fontId="9" fillId="0" borderId="0" xfId="844" applyFont="1" applyFill="1" applyAlignment="1">
      <alignment vertical="center"/>
      <protection/>
    </xf>
    <xf numFmtId="1" fontId="13" fillId="0" borderId="11" xfId="844" applyNumberFormat="1" applyFont="1" applyFill="1" applyBorder="1" applyAlignment="1">
      <alignment horizontal="center" vertical="center"/>
      <protection/>
    </xf>
    <xf numFmtId="187" fontId="8" fillId="0" borderId="11" xfId="0" applyNumberFormat="1" applyFont="1" applyFill="1" applyBorder="1" applyAlignment="1" applyProtection="1">
      <alignment horizontal="center" vertical="center" shrinkToFit="1"/>
      <protection/>
    </xf>
    <xf numFmtId="186" fontId="4" fillId="0" borderId="11" xfId="0" applyNumberFormat="1" applyFont="1" applyFill="1" applyBorder="1" applyAlignment="1">
      <alignment horizontal="center"/>
    </xf>
    <xf numFmtId="0" fontId="4" fillId="0" borderId="11" xfId="844" applyFont="1" applyFill="1" applyBorder="1" applyAlignment="1">
      <alignment horizontal="center" vertical="center"/>
      <protection/>
    </xf>
    <xf numFmtId="49" fontId="5" fillId="0" borderId="0" xfId="844" applyNumberFormat="1" applyFont="1" applyFill="1" applyBorder="1" applyAlignment="1">
      <alignment horizontal="center" vertical="center"/>
      <protection/>
    </xf>
    <xf numFmtId="0" fontId="9" fillId="0" borderId="0" xfId="844" applyFont="1" applyFill="1" applyBorder="1">
      <alignment/>
      <protection/>
    </xf>
    <xf numFmtId="164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844" applyFont="1" applyFill="1" applyBorder="1" applyAlignment="1">
      <alignment horizontal="left" vertical="center"/>
      <protection/>
    </xf>
    <xf numFmtId="0" fontId="9" fillId="26" borderId="23" xfId="844" applyFont="1" applyFill="1" applyBorder="1" applyAlignment="1">
      <alignment horizontal="center" vertical="center"/>
      <protection/>
    </xf>
    <xf numFmtId="49" fontId="5" fillId="27" borderId="0" xfId="844" applyNumberFormat="1" applyFont="1" applyFill="1" applyBorder="1" applyAlignment="1">
      <alignment horizontal="center" vertical="center"/>
      <protection/>
    </xf>
    <xf numFmtId="0" fontId="4" fillId="0" borderId="0" xfId="844" applyNumberFormat="1" applyFont="1" applyFill="1" applyAlignment="1">
      <alignment vertical="center"/>
      <protection/>
    </xf>
    <xf numFmtId="1" fontId="4" fillId="0" borderId="11" xfId="844" applyNumberFormat="1" applyFont="1" applyFill="1" applyBorder="1" applyAlignment="1">
      <alignment horizontal="center" vertical="center"/>
      <protection/>
    </xf>
    <xf numFmtId="0" fontId="4" fillId="0" borderId="0" xfId="844" applyFont="1" applyFill="1" applyBorder="1" applyAlignment="1">
      <alignment horizontal="center" vertical="center"/>
      <protection/>
    </xf>
    <xf numFmtId="2" fontId="4" fillId="0" borderId="0" xfId="844" applyNumberFormat="1" applyFont="1" applyFill="1" applyBorder="1" applyAlignment="1">
      <alignment horizontal="center" vertical="center"/>
      <protection/>
    </xf>
    <xf numFmtId="0" fontId="9" fillId="0" borderId="0" xfId="844" applyFont="1" applyFill="1" applyBorder="1" applyAlignment="1">
      <alignment horizontal="center" vertical="center"/>
      <protection/>
    </xf>
    <xf numFmtId="0" fontId="9" fillId="0" borderId="0" xfId="844" applyFont="1" applyFill="1" applyBorder="1" applyAlignment="1">
      <alignment horizontal="right" vertical="center"/>
      <protection/>
    </xf>
    <xf numFmtId="0" fontId="8" fillId="0" borderId="0" xfId="844" applyFont="1" applyFill="1" applyBorder="1" applyAlignment="1">
      <alignment horizontal="left" vertical="center"/>
      <protection/>
    </xf>
    <xf numFmtId="49" fontId="14" fillId="0" borderId="0" xfId="844" applyNumberFormat="1" applyFont="1" applyFill="1" applyBorder="1" applyAlignment="1">
      <alignment horizontal="center" vertical="center"/>
      <protection/>
    </xf>
    <xf numFmtId="0" fontId="4" fillId="0" borderId="0" xfId="844" applyFont="1" applyFill="1" applyBorder="1" applyAlignment="1">
      <alignment horizontal="left" vertical="center"/>
      <protection/>
    </xf>
    <xf numFmtId="1" fontId="4" fillId="0" borderId="0" xfId="844" applyNumberFormat="1" applyFont="1" applyFill="1" applyBorder="1" applyAlignment="1">
      <alignment horizontal="center" vertical="center"/>
      <protection/>
    </xf>
    <xf numFmtId="2" fontId="8" fillId="0" borderId="0" xfId="642" applyNumberFormat="1" applyFont="1" applyFill="1" applyBorder="1" applyAlignment="1">
      <alignment horizontal="center"/>
      <protection/>
    </xf>
    <xf numFmtId="186" fontId="4" fillId="0" borderId="0" xfId="642" applyNumberFormat="1" applyFont="1" applyFill="1" applyBorder="1" applyAlignment="1">
      <alignment horizontal="center"/>
      <protection/>
    </xf>
    <xf numFmtId="49" fontId="4" fillId="0" borderId="24" xfId="844" applyNumberFormat="1" applyFont="1" applyFill="1" applyBorder="1" applyAlignment="1">
      <alignment horizontal="center" vertical="center"/>
      <protection/>
    </xf>
    <xf numFmtId="2" fontId="57" fillId="0" borderId="11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2" fontId="58" fillId="0" borderId="11" xfId="0" applyNumberFormat="1" applyFont="1" applyFill="1" applyBorder="1" applyAlignment="1">
      <alignment horizontal="center"/>
    </xf>
    <xf numFmtId="49" fontId="5" fillId="0" borderId="0" xfId="844" applyNumberFormat="1" applyFont="1" applyFill="1" applyAlignment="1">
      <alignment horizontal="center"/>
      <protection/>
    </xf>
    <xf numFmtId="0" fontId="4" fillId="0" borderId="0" xfId="844" applyNumberFormat="1" applyFont="1" applyFill="1" applyAlignment="1">
      <alignment horizontal="center"/>
      <protection/>
    </xf>
    <xf numFmtId="49" fontId="5" fillId="28" borderId="0" xfId="844" applyNumberFormat="1" applyFont="1" applyFill="1" applyAlignment="1">
      <alignment horizontal="center"/>
      <protection/>
    </xf>
    <xf numFmtId="49" fontId="5" fillId="26" borderId="0" xfId="844" applyNumberFormat="1" applyFont="1" applyFill="1" applyAlignment="1">
      <alignment horizontal="center"/>
      <protection/>
    </xf>
    <xf numFmtId="2" fontId="4" fillId="0" borderId="0" xfId="844" applyNumberFormat="1" applyFont="1" applyFill="1" applyAlignment="1">
      <alignment horizontal="center"/>
      <protection/>
    </xf>
    <xf numFmtId="2" fontId="58" fillId="0" borderId="11" xfId="0" applyNumberFormat="1" applyFont="1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0" fontId="9" fillId="26" borderId="0" xfId="844" applyFont="1" applyFill="1">
      <alignment/>
      <protection/>
    </xf>
    <xf numFmtId="0" fontId="9" fillId="0" borderId="31" xfId="642" applyNumberFormat="1" applyFont="1" applyFill="1" applyBorder="1" applyAlignment="1">
      <alignment horizontal="center" vertical="center"/>
      <protection/>
    </xf>
    <xf numFmtId="0" fontId="9" fillId="0" borderId="32" xfId="642" applyFont="1" applyFill="1" applyBorder="1" applyAlignment="1">
      <alignment horizontal="right" vertical="center"/>
      <protection/>
    </xf>
    <xf numFmtId="0" fontId="8" fillId="0" borderId="33" xfId="642" applyFont="1" applyFill="1" applyBorder="1" applyAlignment="1">
      <alignment horizontal="left" vertical="center"/>
      <protection/>
    </xf>
    <xf numFmtId="176" fontId="4" fillId="0" borderId="31" xfId="642" applyNumberFormat="1" applyFont="1" applyFill="1" applyBorder="1" applyAlignment="1">
      <alignment horizontal="center" vertical="center"/>
      <protection/>
    </xf>
    <xf numFmtId="0" fontId="5" fillId="0" borderId="31" xfId="642" applyFont="1" applyFill="1" applyBorder="1" applyAlignment="1">
      <alignment horizontal="left" vertical="center"/>
      <protection/>
    </xf>
    <xf numFmtId="49" fontId="4" fillId="0" borderId="31" xfId="642" applyNumberFormat="1" applyFont="1" applyFill="1" applyBorder="1" applyAlignment="1">
      <alignment horizontal="left" vertical="center"/>
      <protection/>
    </xf>
    <xf numFmtId="0" fontId="4" fillId="0" borderId="31" xfId="844" applyFont="1" applyFill="1" applyBorder="1" applyAlignment="1">
      <alignment horizontal="left" vertical="center"/>
      <protection/>
    </xf>
    <xf numFmtId="1" fontId="13" fillId="0" borderId="31" xfId="642" applyNumberFormat="1" applyFont="1" applyFill="1" applyBorder="1" applyAlignment="1">
      <alignment horizontal="center" vertical="center"/>
      <protection/>
    </xf>
    <xf numFmtId="2" fontId="9" fillId="29" borderId="11" xfId="642" applyNumberFormat="1" applyFont="1" applyFill="1" applyBorder="1" applyAlignment="1">
      <alignment horizontal="center" vertical="center"/>
      <protection/>
    </xf>
    <xf numFmtId="1" fontId="4" fillId="0" borderId="31" xfId="642" applyNumberFormat="1" applyFont="1" applyFill="1" applyBorder="1" applyAlignment="1">
      <alignment horizontal="center" vertical="center"/>
      <protection/>
    </xf>
    <xf numFmtId="2" fontId="9" fillId="0" borderId="11" xfId="642" applyNumberFormat="1" applyFont="1" applyFill="1" applyBorder="1" applyAlignment="1">
      <alignment horizontal="center" vertical="center"/>
      <protection/>
    </xf>
    <xf numFmtId="2" fontId="8" fillId="0" borderId="31" xfId="642" applyNumberFormat="1" applyFont="1" applyFill="1" applyBorder="1" applyAlignment="1">
      <alignment horizontal="center" vertical="center"/>
      <protection/>
    </xf>
    <xf numFmtId="2" fontId="9" fillId="0" borderId="31" xfId="642" applyNumberFormat="1" applyFont="1" applyFill="1" applyBorder="1" applyAlignment="1">
      <alignment horizontal="center" vertical="center"/>
      <protection/>
    </xf>
    <xf numFmtId="0" fontId="4" fillId="0" borderId="31" xfId="642" applyFont="1" applyFill="1" applyBorder="1" applyAlignment="1">
      <alignment horizontal="left" vertical="center" wrapText="1"/>
      <protection/>
    </xf>
    <xf numFmtId="0" fontId="73" fillId="0" borderId="30" xfId="642" applyNumberFormat="1" applyFont="1" applyFill="1" applyBorder="1" applyAlignment="1">
      <alignment horizontal="center" vertical="center"/>
      <protection/>
    </xf>
    <xf numFmtId="0" fontId="9" fillId="0" borderId="30" xfId="642" applyNumberFormat="1" applyFont="1" applyFill="1" applyBorder="1" applyAlignment="1">
      <alignment horizontal="center" vertical="center"/>
      <protection/>
    </xf>
    <xf numFmtId="0" fontId="9" fillId="0" borderId="34" xfId="642" applyFont="1" applyFill="1" applyBorder="1" applyAlignment="1">
      <alignment horizontal="right" vertical="center"/>
      <protection/>
    </xf>
    <xf numFmtId="0" fontId="8" fillId="0" borderId="35" xfId="642" applyFont="1" applyFill="1" applyBorder="1" applyAlignment="1">
      <alignment horizontal="left" vertical="center"/>
      <protection/>
    </xf>
    <xf numFmtId="49" fontId="4" fillId="0" borderId="30" xfId="642" applyNumberFormat="1" applyFont="1" applyFill="1" applyBorder="1" applyAlignment="1">
      <alignment horizontal="center" vertical="center"/>
      <protection/>
    </xf>
    <xf numFmtId="0" fontId="5" fillId="0" borderId="30" xfId="642" applyFont="1" applyFill="1" applyBorder="1" applyAlignment="1">
      <alignment horizontal="left" vertical="center"/>
      <protection/>
    </xf>
    <xf numFmtId="49" fontId="4" fillId="0" borderId="30" xfId="642" applyNumberFormat="1" applyFont="1" applyFill="1" applyBorder="1" applyAlignment="1">
      <alignment horizontal="left" vertical="center"/>
      <protection/>
    </xf>
    <xf numFmtId="0" fontId="4" fillId="0" borderId="30" xfId="844" applyFont="1" applyFill="1" applyBorder="1" applyAlignment="1">
      <alignment horizontal="left" vertical="center"/>
      <protection/>
    </xf>
    <xf numFmtId="1" fontId="13" fillId="0" borderId="30" xfId="642" applyNumberFormat="1" applyFont="1" applyFill="1" applyBorder="1" applyAlignment="1">
      <alignment horizontal="center" vertical="center"/>
      <protection/>
    </xf>
    <xf numFmtId="180" fontId="4" fillId="29" borderId="11" xfId="642" applyNumberFormat="1" applyFont="1" applyFill="1" applyBorder="1" applyAlignment="1">
      <alignment horizontal="center"/>
      <protection/>
    </xf>
    <xf numFmtId="1" fontId="4" fillId="0" borderId="30" xfId="642" applyNumberFormat="1" applyFont="1" applyFill="1" applyBorder="1" applyAlignment="1">
      <alignment horizontal="center" vertical="center"/>
      <protection/>
    </xf>
    <xf numFmtId="180" fontId="4" fillId="0" borderId="11" xfId="642" applyNumberFormat="1" applyFont="1" applyFill="1" applyBorder="1" applyAlignment="1">
      <alignment horizontal="center"/>
      <protection/>
    </xf>
    <xf numFmtId="2" fontId="74" fillId="0" borderId="30" xfId="642" applyNumberFormat="1" applyFont="1" applyFill="1" applyBorder="1" applyAlignment="1">
      <alignment horizontal="center" vertical="center"/>
      <protection/>
    </xf>
    <xf numFmtId="2" fontId="59" fillId="0" borderId="30" xfId="642" applyNumberFormat="1" applyFont="1" applyFill="1" applyBorder="1" applyAlignment="1">
      <alignment horizontal="center" vertical="center"/>
      <protection/>
    </xf>
    <xf numFmtId="0" fontId="4" fillId="0" borderId="30" xfId="642" applyFont="1" applyFill="1" applyBorder="1" applyAlignment="1">
      <alignment horizontal="left" vertical="center" wrapText="1"/>
      <protection/>
    </xf>
    <xf numFmtId="49" fontId="9" fillId="0" borderId="30" xfId="642" applyNumberFormat="1" applyFont="1" applyFill="1" applyBorder="1" applyAlignment="1">
      <alignment horizontal="center" vertical="center"/>
      <protection/>
    </xf>
    <xf numFmtId="0" fontId="13" fillId="0" borderId="30" xfId="642" applyNumberFormat="1" applyFont="1" applyFill="1" applyBorder="1" applyAlignment="1">
      <alignment horizontal="center" vertical="center"/>
      <protection/>
    </xf>
    <xf numFmtId="2" fontId="9" fillId="0" borderId="11" xfId="848" applyNumberFormat="1" applyFont="1" applyFill="1" applyBorder="1" applyAlignment="1">
      <alignment horizontal="center" vertical="center"/>
      <protection/>
    </xf>
    <xf numFmtId="2" fontId="8" fillId="0" borderId="11" xfId="848" applyNumberFormat="1" applyFont="1" applyFill="1" applyBorder="1" applyAlignment="1">
      <alignment horizontal="center" vertical="center"/>
      <protection/>
    </xf>
    <xf numFmtId="2" fontId="14" fillId="0" borderId="11" xfId="848" applyNumberFormat="1" applyFont="1" applyFill="1" applyBorder="1" applyAlignment="1">
      <alignment horizontal="center" vertical="center"/>
      <protection/>
    </xf>
    <xf numFmtId="1" fontId="14" fillId="0" borderId="11" xfId="848" applyNumberFormat="1" applyFont="1" applyFill="1" applyBorder="1" applyAlignment="1">
      <alignment horizontal="center" vertical="center"/>
      <protection/>
    </xf>
    <xf numFmtId="1" fontId="13" fillId="0" borderId="11" xfId="848" applyNumberFormat="1" applyFont="1" applyFill="1" applyBorder="1" applyAlignment="1">
      <alignment horizontal="center" vertical="center"/>
      <protection/>
    </xf>
    <xf numFmtId="0" fontId="4" fillId="0" borderId="0" xfId="844" applyFont="1" applyFill="1" applyAlignment="1">
      <alignment vertical="center"/>
      <protection/>
    </xf>
    <xf numFmtId="2" fontId="57" fillId="0" borderId="11" xfId="642" applyNumberFormat="1" applyFont="1" applyFill="1" applyBorder="1" applyAlignment="1">
      <alignment horizontal="center"/>
      <protection/>
    </xf>
    <xf numFmtId="2" fontId="58" fillId="0" borderId="11" xfId="642" applyNumberFormat="1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horizontal="center" vertical="center"/>
    </xf>
    <xf numFmtId="188" fontId="47" fillId="0" borderId="11" xfId="844" applyNumberFormat="1" applyFont="1" applyFill="1" applyBorder="1" applyAlignment="1">
      <alignment horizontal="center" vertical="center"/>
      <protection/>
    </xf>
    <xf numFmtId="1" fontId="48" fillId="0" borderId="11" xfId="844" applyNumberFormat="1" applyFont="1" applyFill="1" applyBorder="1" applyAlignment="1">
      <alignment horizontal="center" vertical="center"/>
      <protection/>
    </xf>
    <xf numFmtId="0" fontId="4" fillId="0" borderId="11" xfId="638" applyFont="1" applyFill="1" applyBorder="1" applyAlignment="1">
      <alignment vertical="center"/>
      <protection/>
    </xf>
    <xf numFmtId="0" fontId="9" fillId="0" borderId="23" xfId="638" applyNumberFormat="1" applyFont="1" applyFill="1" applyBorder="1" applyAlignment="1">
      <alignment horizontal="center" vertical="center"/>
      <protection/>
    </xf>
    <xf numFmtId="49" fontId="8" fillId="0" borderId="21" xfId="642" applyNumberFormat="1" applyFont="1" applyFill="1" applyBorder="1" applyAlignment="1">
      <alignment horizontal="center" vertical="center"/>
      <protection/>
    </xf>
    <xf numFmtId="0" fontId="5" fillId="0" borderId="0" xfId="844" applyFont="1" applyFill="1">
      <alignment/>
      <protection/>
    </xf>
    <xf numFmtId="49" fontId="5" fillId="0" borderId="0" xfId="844" applyNumberFormat="1" applyFont="1" applyFill="1" applyAlignment="1">
      <alignment horizontal="center"/>
      <protection/>
    </xf>
    <xf numFmtId="2" fontId="5" fillId="0" borderId="0" xfId="844" applyNumberFormat="1" applyFont="1" applyFill="1">
      <alignment/>
      <protection/>
    </xf>
    <xf numFmtId="49" fontId="5" fillId="27" borderId="0" xfId="844" applyNumberFormat="1" applyFont="1" applyFill="1" applyAlignment="1">
      <alignment horizontal="center"/>
      <protection/>
    </xf>
    <xf numFmtId="2" fontId="9" fillId="0" borderId="11" xfId="642" applyNumberFormat="1" applyFont="1" applyFill="1" applyBorder="1" applyAlignment="1">
      <alignment horizontal="center"/>
      <protection/>
    </xf>
    <xf numFmtId="2" fontId="8" fillId="0" borderId="11" xfId="642" applyNumberFormat="1" applyFont="1" applyFill="1" applyBorder="1" applyAlignment="1">
      <alignment horizontal="center"/>
      <protection/>
    </xf>
    <xf numFmtId="186" fontId="8" fillId="0" borderId="11" xfId="642" applyNumberFormat="1" applyFont="1" applyFill="1" applyBorder="1" applyAlignment="1">
      <alignment horizontal="center"/>
      <protection/>
    </xf>
    <xf numFmtId="0" fontId="42" fillId="0" borderId="0" xfId="640" applyFont="1" applyFill="1">
      <alignment/>
      <protection/>
    </xf>
    <xf numFmtId="0" fontId="6" fillId="0" borderId="0" xfId="638" applyFont="1" applyFill="1">
      <alignment/>
      <protection/>
    </xf>
    <xf numFmtId="0" fontId="60" fillId="0" borderId="0" xfId="640" applyFont="1" applyBorder="1">
      <alignment/>
      <protection/>
    </xf>
    <xf numFmtId="0" fontId="9" fillId="0" borderId="0" xfId="640" applyFont="1" applyBorder="1">
      <alignment/>
      <protection/>
    </xf>
    <xf numFmtId="0" fontId="61" fillId="0" borderId="0" xfId="640" applyFont="1">
      <alignment/>
      <protection/>
    </xf>
    <xf numFmtId="0" fontId="9" fillId="0" borderId="0" xfId="640" applyFont="1">
      <alignment/>
      <protection/>
    </xf>
    <xf numFmtId="0" fontId="60" fillId="0" borderId="0" xfId="640" applyNumberFormat="1" applyFont="1" applyAlignment="1">
      <alignment horizontal="left"/>
      <protection/>
    </xf>
    <xf numFmtId="0" fontId="9" fillId="0" borderId="23" xfId="640" applyNumberFormat="1" applyFont="1" applyBorder="1" applyAlignment="1">
      <alignment horizontal="center"/>
      <protection/>
    </xf>
    <xf numFmtId="0" fontId="9" fillId="0" borderId="23" xfId="640" applyNumberFormat="1" applyFont="1" applyBorder="1" applyAlignment="1">
      <alignment horizontal="right"/>
      <protection/>
    </xf>
    <xf numFmtId="0" fontId="8" fillId="0" borderId="7" xfId="640" applyNumberFormat="1" applyFont="1" applyBorder="1" applyAlignment="1">
      <alignment horizontal="left"/>
      <protection/>
    </xf>
    <xf numFmtId="176" fontId="9" fillId="0" borderId="23" xfId="640" applyNumberFormat="1" applyFont="1" applyBorder="1" applyAlignment="1">
      <alignment horizontal="center"/>
      <protection/>
    </xf>
    <xf numFmtId="176" fontId="14" fillId="0" borderId="11" xfId="640" applyNumberFormat="1" applyFont="1" applyBorder="1" applyAlignment="1">
      <alignment horizontal="left"/>
      <protection/>
    </xf>
    <xf numFmtId="176" fontId="9" fillId="0" borderId="11" xfId="640" applyNumberFormat="1" applyFont="1" applyBorder="1" applyAlignment="1">
      <alignment horizontal="center"/>
      <protection/>
    </xf>
    <xf numFmtId="0" fontId="9" fillId="0" borderId="11" xfId="640" applyNumberFormat="1" applyFont="1" applyBorder="1" applyAlignment="1">
      <alignment horizontal="center"/>
      <protection/>
    </xf>
    <xf numFmtId="0" fontId="4" fillId="0" borderId="31" xfId="640" applyNumberFormat="1" applyFont="1" applyBorder="1" applyAlignment="1">
      <alignment horizontal="left" vertical="center"/>
      <protection/>
    </xf>
    <xf numFmtId="0" fontId="4" fillId="0" borderId="36" xfId="640" applyNumberFormat="1" applyFont="1" applyBorder="1" applyAlignment="1">
      <alignment horizontal="left" vertical="center"/>
      <protection/>
    </xf>
    <xf numFmtId="0" fontId="4" fillId="0" borderId="30" xfId="640" applyNumberFormat="1" applyFont="1" applyBorder="1" applyAlignment="1">
      <alignment horizontal="left" vertical="center"/>
      <protection/>
    </xf>
    <xf numFmtId="0" fontId="8" fillId="0" borderId="37" xfId="640" applyFont="1" applyBorder="1" applyAlignment="1">
      <alignment horizontal="center" vertical="center"/>
      <protection/>
    </xf>
    <xf numFmtId="0" fontId="13" fillId="0" borderId="38" xfId="640" applyFont="1" applyBorder="1" applyAlignment="1">
      <alignment horizontal="center" vertical="center"/>
      <protection/>
    </xf>
    <xf numFmtId="0" fontId="8" fillId="0" borderId="39" xfId="640" applyFont="1" applyBorder="1" applyAlignment="1">
      <alignment horizontal="center" vertical="center"/>
      <protection/>
    </xf>
    <xf numFmtId="0" fontId="8" fillId="0" borderId="40" xfId="640" applyFont="1" applyBorder="1" applyAlignment="1">
      <alignment horizontal="right" vertical="center"/>
      <protection/>
    </xf>
    <xf numFmtId="0" fontId="8" fillId="0" borderId="39" xfId="640" applyFont="1" applyBorder="1" applyAlignment="1">
      <alignment horizontal="left" vertical="center"/>
      <protection/>
    </xf>
    <xf numFmtId="0" fontId="8" fillId="0" borderId="38" xfId="640" applyFont="1" applyBorder="1" applyAlignment="1">
      <alignment horizontal="center" vertical="center"/>
      <protection/>
    </xf>
    <xf numFmtId="0" fontId="8" fillId="0" borderId="40" xfId="640" applyFont="1" applyBorder="1" applyAlignment="1">
      <alignment horizontal="center" vertical="center"/>
      <protection/>
    </xf>
    <xf numFmtId="0" fontId="8" fillId="0" borderId="40" xfId="640" applyFont="1" applyBorder="1" applyAlignment="1">
      <alignment horizontal="center" vertical="center" wrapText="1"/>
      <protection/>
    </xf>
    <xf numFmtId="0" fontId="8" fillId="0" borderId="41" xfId="640" applyFont="1" applyBorder="1" applyAlignment="1">
      <alignment horizontal="center" vertical="center"/>
      <protection/>
    </xf>
    <xf numFmtId="0" fontId="9" fillId="0" borderId="0" xfId="640" applyFont="1" applyAlignment="1">
      <alignment vertical="center"/>
      <protection/>
    </xf>
    <xf numFmtId="0" fontId="9" fillId="0" borderId="11" xfId="640" applyNumberFormat="1" applyFont="1" applyBorder="1" applyAlignment="1">
      <alignment horizontal="center" vertical="center"/>
      <protection/>
    </xf>
    <xf numFmtId="176" fontId="14" fillId="0" borderId="23" xfId="640" applyNumberFormat="1" applyFont="1" applyBorder="1" applyAlignment="1">
      <alignment horizontal="center"/>
      <protection/>
    </xf>
    <xf numFmtId="0" fontId="14" fillId="0" borderId="11" xfId="640" applyNumberFormat="1" applyFont="1" applyBorder="1" applyAlignment="1">
      <alignment horizontal="center"/>
      <protection/>
    </xf>
    <xf numFmtId="0" fontId="9" fillId="0" borderId="31" xfId="640" applyNumberFormat="1" applyFont="1" applyBorder="1" applyAlignment="1">
      <alignment horizontal="left" vertical="center"/>
      <protection/>
    </xf>
    <xf numFmtId="0" fontId="9" fillId="0" borderId="23" xfId="638" applyFont="1" applyBorder="1" applyAlignment="1">
      <alignment horizontal="right"/>
      <protection/>
    </xf>
    <xf numFmtId="0" fontId="8" fillId="0" borderId="24" xfId="638" applyFont="1" applyBorder="1" applyAlignment="1">
      <alignment horizontal="left"/>
      <protection/>
    </xf>
    <xf numFmtId="49" fontId="14" fillId="0" borderId="11" xfId="638" applyNumberFormat="1" applyFont="1" applyBorder="1" applyAlignment="1">
      <alignment horizontal="left"/>
      <protection/>
    </xf>
    <xf numFmtId="0" fontId="14" fillId="0" borderId="11" xfId="638" applyFont="1" applyBorder="1" applyAlignment="1">
      <alignment horizontal="left"/>
      <protection/>
    </xf>
    <xf numFmtId="0" fontId="9" fillId="0" borderId="36" xfId="640" applyNumberFormat="1" applyFont="1" applyBorder="1" applyAlignment="1">
      <alignment horizontal="left" vertical="center"/>
      <protection/>
    </xf>
    <xf numFmtId="0" fontId="9" fillId="0" borderId="30" xfId="640" applyNumberFormat="1" applyFont="1" applyBorder="1" applyAlignment="1">
      <alignment horizontal="left" vertical="center"/>
      <protection/>
    </xf>
    <xf numFmtId="0" fontId="4" fillId="0" borderId="11" xfId="638" applyFont="1" applyBorder="1">
      <alignment/>
      <protection/>
    </xf>
    <xf numFmtId="0" fontId="9" fillId="0" borderId="31" xfId="640" applyNumberFormat="1" applyFont="1" applyBorder="1" applyAlignment="1">
      <alignment horizontal="center" vertical="center"/>
      <protection/>
    </xf>
    <xf numFmtId="0" fontId="9" fillId="0" borderId="36" xfId="640" applyNumberFormat="1" applyFont="1" applyBorder="1" applyAlignment="1">
      <alignment horizontal="center" vertical="center"/>
      <protection/>
    </xf>
    <xf numFmtId="0" fontId="9" fillId="0" borderId="30" xfId="640" applyNumberFormat="1" applyFont="1" applyBorder="1" applyAlignment="1">
      <alignment horizontal="center" vertical="center"/>
      <protection/>
    </xf>
    <xf numFmtId="2" fontId="8" fillId="0" borderId="31" xfId="640" applyNumberFormat="1" applyFont="1" applyBorder="1" applyAlignment="1">
      <alignment horizontal="center" vertical="center"/>
      <protection/>
    </xf>
    <xf numFmtId="2" fontId="8" fillId="0" borderId="36" xfId="640" applyNumberFormat="1" applyFont="1" applyBorder="1" applyAlignment="1">
      <alignment horizontal="center" vertical="center"/>
      <protection/>
    </xf>
    <xf numFmtId="2" fontId="8" fillId="0" borderId="30" xfId="640" applyNumberFormat="1" applyFont="1" applyBorder="1" applyAlignment="1">
      <alignment horizontal="center" vertical="center"/>
      <protection/>
    </xf>
    <xf numFmtId="0" fontId="8" fillId="0" borderId="42" xfId="642" applyFont="1" applyFill="1" applyBorder="1" applyAlignment="1">
      <alignment horizontal="center"/>
      <protection/>
    </xf>
    <xf numFmtId="0" fontId="8" fillId="0" borderId="39" xfId="642" applyFont="1" applyFill="1" applyBorder="1" applyAlignment="1">
      <alignment horizontal="center"/>
      <protection/>
    </xf>
    <xf numFmtId="0" fontId="8" fillId="0" borderId="43" xfId="642" applyFont="1" applyFill="1" applyBorder="1" applyAlignment="1">
      <alignment horizontal="center"/>
      <protection/>
    </xf>
  </cellXfs>
  <cellStyles count="86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omma 10" xfId="77"/>
    <cellStyle name="Comma 11" xfId="78"/>
    <cellStyle name="Comma 12" xfId="79"/>
    <cellStyle name="Comma 13" xfId="80"/>
    <cellStyle name="Comma 14" xfId="81"/>
    <cellStyle name="Comma 15" xfId="82"/>
    <cellStyle name="Comma 16" xfId="83"/>
    <cellStyle name="Comma 17" xfId="84"/>
    <cellStyle name="Comma 18" xfId="85"/>
    <cellStyle name="Comma 19" xfId="86"/>
    <cellStyle name="Comma 2" xfId="87"/>
    <cellStyle name="Comma 2 2" xfId="88"/>
    <cellStyle name="Comma 2 3" xfId="89"/>
    <cellStyle name="Comma 2_DALYVIAI" xfId="90"/>
    <cellStyle name="Comma 20" xfId="91"/>
    <cellStyle name="Comma 21" xfId="92"/>
    <cellStyle name="Comma 22" xfId="93"/>
    <cellStyle name="Comma 23" xfId="94"/>
    <cellStyle name="Comma 24" xfId="95"/>
    <cellStyle name="Comma 25" xfId="96"/>
    <cellStyle name="Comma 26" xfId="97"/>
    <cellStyle name="Comma 27" xfId="98"/>
    <cellStyle name="Comma 28" xfId="99"/>
    <cellStyle name="Comma 29" xfId="100"/>
    <cellStyle name="Comma 3" xfId="101"/>
    <cellStyle name="Comma 30" xfId="102"/>
    <cellStyle name="Comma 30 2" xfId="103"/>
    <cellStyle name="Comma 30 3" xfId="104"/>
    <cellStyle name="Comma 31" xfId="105"/>
    <cellStyle name="Comma 32" xfId="106"/>
    <cellStyle name="Comma 33" xfId="107"/>
    <cellStyle name="Comma 34" xfId="108"/>
    <cellStyle name="Comma 35" xfId="109"/>
    <cellStyle name="Comma 4" xfId="110"/>
    <cellStyle name="Comma 5" xfId="111"/>
    <cellStyle name="Comma 6" xfId="112"/>
    <cellStyle name="Comma 7" xfId="113"/>
    <cellStyle name="Comma 8" xfId="114"/>
    <cellStyle name="Comma 9" xfId="115"/>
    <cellStyle name="Currency" xfId="116"/>
    <cellStyle name="Currency [0]" xfId="117"/>
    <cellStyle name="Currency [00]" xfId="118"/>
    <cellStyle name="Currency 2" xfId="119"/>
    <cellStyle name="Date Short" xfId="120"/>
    <cellStyle name="Dziesiętny [0]_PLDT" xfId="121"/>
    <cellStyle name="Dziesiętny_PLDT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xplanatory Text" xfId="128"/>
    <cellStyle name="Geras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iperłącze" xfId="138"/>
    <cellStyle name="Input" xfId="139"/>
    <cellStyle name="Input [yellow]" xfId="140"/>
    <cellStyle name="Išvestis" xfId="141"/>
    <cellStyle name="Įprastas 2 2 2" xfId="142"/>
    <cellStyle name="Įspėjimo tekstas" xfId="143"/>
    <cellStyle name="Įvestis" xfId="144"/>
    <cellStyle name="Link Currency (0)" xfId="145"/>
    <cellStyle name="Link Currency (2)" xfId="146"/>
    <cellStyle name="Link Units (0)" xfId="147"/>
    <cellStyle name="Link Units (1)" xfId="148"/>
    <cellStyle name="Link Units (2)" xfId="149"/>
    <cellStyle name="Linked Cell" xfId="150"/>
    <cellStyle name="Neutral" xfId="151"/>
    <cellStyle name="Neutralus" xfId="152"/>
    <cellStyle name="Normal - Style1" xfId="153"/>
    <cellStyle name="Normal 10" xfId="154"/>
    <cellStyle name="Normal 10 2" xfId="155"/>
    <cellStyle name="Normal 10 2 2" xfId="156"/>
    <cellStyle name="Normal 10 2 2 2" xfId="157"/>
    <cellStyle name="Normal 10 2 2 3" xfId="158"/>
    <cellStyle name="Normal 10 2 2 4" xfId="159"/>
    <cellStyle name="Normal 10 2 2_DALYVIAI" xfId="160"/>
    <cellStyle name="Normal 10 2 3" xfId="161"/>
    <cellStyle name="Normal 10 2 4" xfId="162"/>
    <cellStyle name="Normal 10 2 5" xfId="163"/>
    <cellStyle name="Normal 10 2_DALYVIAI" xfId="164"/>
    <cellStyle name="Normal 10 3" xfId="165"/>
    <cellStyle name="Normal 10 3 2" xfId="166"/>
    <cellStyle name="Normal 10 3 3" xfId="167"/>
    <cellStyle name="Normal 10 3 4" xfId="168"/>
    <cellStyle name="Normal 10 3_DALYVIAI" xfId="169"/>
    <cellStyle name="Normal 10 4" xfId="170"/>
    <cellStyle name="Normal 10 5" xfId="171"/>
    <cellStyle name="Normal 10 5 2" xfId="172"/>
    <cellStyle name="Normal 10 5 3" xfId="173"/>
    <cellStyle name="Normal 10 5 4" xfId="174"/>
    <cellStyle name="Normal 10 5_DALYVIAI" xfId="175"/>
    <cellStyle name="Normal 10 6" xfId="176"/>
    <cellStyle name="Normal 10 7" xfId="177"/>
    <cellStyle name="Normal 10_DALYVIAI" xfId="178"/>
    <cellStyle name="Normal 11" xfId="179"/>
    <cellStyle name="Normal 11 2" xfId="180"/>
    <cellStyle name="Normal 11 2 2" xfId="181"/>
    <cellStyle name="Normal 11 2 3" xfId="182"/>
    <cellStyle name="Normal 11 2 4" xfId="183"/>
    <cellStyle name="Normal 11 2_DALYVIAI" xfId="184"/>
    <cellStyle name="Normal 11 3" xfId="185"/>
    <cellStyle name="Normal 11 3 2" xfId="186"/>
    <cellStyle name="Normal 11 3 3" xfId="187"/>
    <cellStyle name="Normal 11 3 4" xfId="188"/>
    <cellStyle name="Normal 11 3_DALYVIAI" xfId="189"/>
    <cellStyle name="Normal 11 4" xfId="190"/>
    <cellStyle name="Normal 11 5" xfId="191"/>
    <cellStyle name="Normal 11 5 2" xfId="192"/>
    <cellStyle name="Normal 11 5 3" xfId="193"/>
    <cellStyle name="Normal 11 5 4" xfId="194"/>
    <cellStyle name="Normal 11 5_DALYVIAI" xfId="195"/>
    <cellStyle name="Normal 11 6" xfId="196"/>
    <cellStyle name="Normal 11 7" xfId="197"/>
    <cellStyle name="Normal 11_DALYVIAI" xfId="198"/>
    <cellStyle name="Normal 12" xfId="199"/>
    <cellStyle name="Normal 12 2" xfId="200"/>
    <cellStyle name="Normal 12 2 2" xfId="201"/>
    <cellStyle name="Normal 12 2 3" xfId="202"/>
    <cellStyle name="Normal 12 2 4" xfId="203"/>
    <cellStyle name="Normal 12 2_DALYVIAI" xfId="204"/>
    <cellStyle name="Normal 12 3" xfId="205"/>
    <cellStyle name="Normal 12 4" xfId="206"/>
    <cellStyle name="Normal 12 4 2" xfId="207"/>
    <cellStyle name="Normal 12 4 3" xfId="208"/>
    <cellStyle name="Normal 12 4 4" xfId="209"/>
    <cellStyle name="Normal 12 4_DALYVIAI" xfId="210"/>
    <cellStyle name="Normal 12 5" xfId="211"/>
    <cellStyle name="Normal 12 6" xfId="212"/>
    <cellStyle name="Normal 12_DALYVIAI" xfId="213"/>
    <cellStyle name="Normal 13" xfId="214"/>
    <cellStyle name="Normal 13 2" xfId="215"/>
    <cellStyle name="Normal 13 2 2" xfId="216"/>
    <cellStyle name="Normal 13 2 2 2" xfId="217"/>
    <cellStyle name="Normal 13 2 2 3" xfId="218"/>
    <cellStyle name="Normal 13 2 2 4" xfId="219"/>
    <cellStyle name="Normal 13 2 2_DALYVIAI" xfId="220"/>
    <cellStyle name="Normal 13 2 3" xfId="221"/>
    <cellStyle name="Normal 13 2 4" xfId="222"/>
    <cellStyle name="Normal 13 2 5" xfId="223"/>
    <cellStyle name="Normal 13 2_DALYVIAI" xfId="224"/>
    <cellStyle name="Normal 13 3" xfId="225"/>
    <cellStyle name="Normal 13 3 2" xfId="226"/>
    <cellStyle name="Normal 13 3 3" xfId="227"/>
    <cellStyle name="Normal 13 3 4" xfId="228"/>
    <cellStyle name="Normal 13 3_DALYVIAI" xfId="229"/>
    <cellStyle name="Normal 13 4" xfId="230"/>
    <cellStyle name="Normal 13 5" xfId="231"/>
    <cellStyle name="Normal 13_100 M" xfId="232"/>
    <cellStyle name="Normal 14" xfId="233"/>
    <cellStyle name="Normal 14 2" xfId="234"/>
    <cellStyle name="Normal 14 2 2" xfId="235"/>
    <cellStyle name="Normal 14 2 2 2" xfId="236"/>
    <cellStyle name="Normal 14 2 2 3" xfId="237"/>
    <cellStyle name="Normal 14 2 2 4" xfId="238"/>
    <cellStyle name="Normal 14 2 2_DALYVIAI" xfId="239"/>
    <cellStyle name="Normal 14 2 3" xfId="240"/>
    <cellStyle name="Normal 14 2 4" xfId="241"/>
    <cellStyle name="Normal 14 2 5" xfId="242"/>
    <cellStyle name="Normal 14 2_DALYVIAI" xfId="243"/>
    <cellStyle name="Normal 14 3" xfId="244"/>
    <cellStyle name="Normal 14 3 2" xfId="245"/>
    <cellStyle name="Normal 14 3 3" xfId="246"/>
    <cellStyle name="Normal 14 3 4" xfId="247"/>
    <cellStyle name="Normal 14 3_DALYVIAI" xfId="248"/>
    <cellStyle name="Normal 14 4" xfId="249"/>
    <cellStyle name="Normal 14 5" xfId="250"/>
    <cellStyle name="Normal 14_DALYVIAI" xfId="251"/>
    <cellStyle name="Normal 15" xfId="252"/>
    <cellStyle name="Normal 15 2" xfId="253"/>
    <cellStyle name="Normal 15 2 2" xfId="254"/>
    <cellStyle name="Normal 15 2 3" xfId="255"/>
    <cellStyle name="Normal 15 2 4" xfId="256"/>
    <cellStyle name="Normal 15 2_DALYVIAI" xfId="257"/>
    <cellStyle name="Normal 15 3" xfId="258"/>
    <cellStyle name="Normal 15 4" xfId="259"/>
    <cellStyle name="Normal 15 4 2" xfId="260"/>
    <cellStyle name="Normal 15 4 3" xfId="261"/>
    <cellStyle name="Normal 15 4 4" xfId="262"/>
    <cellStyle name="Normal 15 4_DALYVIAI" xfId="263"/>
    <cellStyle name="Normal 15 5" xfId="264"/>
    <cellStyle name="Normal 15 6" xfId="265"/>
    <cellStyle name="Normal 15_DALYVIAI" xfId="266"/>
    <cellStyle name="Normal 16" xfId="267"/>
    <cellStyle name="Normal 16 2" xfId="268"/>
    <cellStyle name="Normal 16 2 2" xfId="269"/>
    <cellStyle name="Normal 16 2 3" xfId="270"/>
    <cellStyle name="Normal 16 2 4" xfId="271"/>
    <cellStyle name="Normal 16 2_DALYVIAI" xfId="272"/>
    <cellStyle name="Normal 16 3" xfId="273"/>
    <cellStyle name="Normal 16_DALYVIAI" xfId="274"/>
    <cellStyle name="Normal 17" xfId="275"/>
    <cellStyle name="Normal 17 2" xfId="276"/>
    <cellStyle name="Normal 17 2 2" xfId="277"/>
    <cellStyle name="Normal 17 2 3" xfId="278"/>
    <cellStyle name="Normal 17 2 4" xfId="279"/>
    <cellStyle name="Normal 17 2_DALYVIAI" xfId="280"/>
    <cellStyle name="Normal 17 3" xfId="281"/>
    <cellStyle name="Normal 17 4" xfId="282"/>
    <cellStyle name="Normal 17 4 2" xfId="283"/>
    <cellStyle name="Normal 17 4 3" xfId="284"/>
    <cellStyle name="Normal 17 4 4" xfId="285"/>
    <cellStyle name="Normal 17 4_DALYVIAI" xfId="286"/>
    <cellStyle name="Normal 17 5" xfId="287"/>
    <cellStyle name="Normal 17 6" xfId="288"/>
    <cellStyle name="Normal 17_DALYVIAI" xfId="289"/>
    <cellStyle name="Normal 18" xfId="290"/>
    <cellStyle name="Normal 18 2" xfId="291"/>
    <cellStyle name="Normal 18 2 2" xfId="292"/>
    <cellStyle name="Normal 18 2 2 2" xfId="293"/>
    <cellStyle name="Normal 18 2 2 3" xfId="294"/>
    <cellStyle name="Normal 18 2 2 4" xfId="295"/>
    <cellStyle name="Normal 18 2 2_DALYVIAI" xfId="296"/>
    <cellStyle name="Normal 18 2 3" xfId="297"/>
    <cellStyle name="Normal 18 2 4" xfId="298"/>
    <cellStyle name="Normal 18 2 5" xfId="299"/>
    <cellStyle name="Normal 18 2_DALYVIAI" xfId="300"/>
    <cellStyle name="Normal 18 3" xfId="301"/>
    <cellStyle name="Normal 18 3 2" xfId="302"/>
    <cellStyle name="Normal 18 3 3" xfId="303"/>
    <cellStyle name="Normal 18 3 4" xfId="304"/>
    <cellStyle name="Normal 18 3_DALYVIAI" xfId="305"/>
    <cellStyle name="Normal 18 4" xfId="306"/>
    <cellStyle name="Normal 18 5" xfId="307"/>
    <cellStyle name="Normal 18_DALYVIAI" xfId="308"/>
    <cellStyle name="Normal 19" xfId="309"/>
    <cellStyle name="Normal 19 2" xfId="310"/>
    <cellStyle name="Normal 19 2 2" xfId="311"/>
    <cellStyle name="Normal 19 2 2 2" xfId="312"/>
    <cellStyle name="Normal 19 2 2 3" xfId="313"/>
    <cellStyle name="Normal 19 2 2 4" xfId="314"/>
    <cellStyle name="Normal 19 2 2_DALYVIAI" xfId="315"/>
    <cellStyle name="Normal 19 2 3" xfId="316"/>
    <cellStyle name="Normal 19 2 4" xfId="317"/>
    <cellStyle name="Normal 19 2 5" xfId="318"/>
    <cellStyle name="Normal 19 2_DALYVIAI" xfId="319"/>
    <cellStyle name="Normal 19 3" xfId="320"/>
    <cellStyle name="Normal 19 3 2" xfId="321"/>
    <cellStyle name="Normal 19 3 3" xfId="322"/>
    <cellStyle name="Normal 19 3 4" xfId="323"/>
    <cellStyle name="Normal 19 3_DALYVIAI" xfId="324"/>
    <cellStyle name="Normal 19 4" xfId="325"/>
    <cellStyle name="Normal 19 5" xfId="326"/>
    <cellStyle name="Normal 19_DALYVIAI" xfId="327"/>
    <cellStyle name="Normal 2" xfId="328"/>
    <cellStyle name="Normal 2 2" xfId="329"/>
    <cellStyle name="Normal 2 2 10" xfId="330"/>
    <cellStyle name="Normal 2 2 10 2" xfId="331"/>
    <cellStyle name="Normal 2 2 10 3" xfId="332"/>
    <cellStyle name="Normal 2 2 10 4" xfId="333"/>
    <cellStyle name="Normal 2 2 10_DALYVIAI" xfId="334"/>
    <cellStyle name="Normal 2 2 11" xfId="335"/>
    <cellStyle name="Normal 2 2 12" xfId="336"/>
    <cellStyle name="Normal 2 2 2" xfId="337"/>
    <cellStyle name="Normal 2 2 2 2" xfId="338"/>
    <cellStyle name="Normal 2 2 2 2 2" xfId="339"/>
    <cellStyle name="Normal 2 2 2 2 3" xfId="340"/>
    <cellStyle name="Normal 2 2 2 2 4" xfId="341"/>
    <cellStyle name="Normal 2 2 2 2 5" xfId="342"/>
    <cellStyle name="Normal 2 2 2 2 5 2" xfId="343"/>
    <cellStyle name="Normal 2 2 2 2 5 3" xfId="344"/>
    <cellStyle name="Normal 2 2 2 3" xfId="345"/>
    <cellStyle name="Normal 2 2 2 4" xfId="346"/>
    <cellStyle name="Normal 2 2 2 4 2" xfId="347"/>
    <cellStyle name="Normal 2 2 2 4 3" xfId="348"/>
    <cellStyle name="Normal 2 2 2 4 4" xfId="349"/>
    <cellStyle name="Normal 2 2 2 4_DALYVIAI" xfId="350"/>
    <cellStyle name="Normal 2 2 2 5" xfId="351"/>
    <cellStyle name="Normal 2 2 2 6" xfId="352"/>
    <cellStyle name="Normal 2 2 2_DALYVIAI" xfId="353"/>
    <cellStyle name="Normal 2 2 3" xfId="354"/>
    <cellStyle name="Normal 2 2 3 10" xfId="355"/>
    <cellStyle name="Normal 2 2 3 2" xfId="356"/>
    <cellStyle name="Normal 2 2 3 2 2" xfId="357"/>
    <cellStyle name="Normal 2 2 3 2 2 2" xfId="358"/>
    <cellStyle name="Normal 2 2 3 2 2 2 2" xfId="359"/>
    <cellStyle name="Normal 2 2 3 2 2 2 3" xfId="360"/>
    <cellStyle name="Normal 2 2 3 2 2 2 4" xfId="361"/>
    <cellStyle name="Normal 2 2 3 2 2 2_DALYVIAI" xfId="362"/>
    <cellStyle name="Normal 2 2 3 2 2 3" xfId="363"/>
    <cellStyle name="Normal 2 2 3 2 2 3 2" xfId="364"/>
    <cellStyle name="Normal 2 2 3 2 2 3 3" xfId="365"/>
    <cellStyle name="Normal 2 2 3 2 2 3 4" xfId="366"/>
    <cellStyle name="Normal 2 2 3 2 2 3_DALYVIAI" xfId="367"/>
    <cellStyle name="Normal 2 2 3 2 2 4" xfId="368"/>
    <cellStyle name="Normal 2 2 3 2 2 4 2" xfId="369"/>
    <cellStyle name="Normal 2 2 3 2 2 4 3" xfId="370"/>
    <cellStyle name="Normal 2 2 3 2 2 4 4" xfId="371"/>
    <cellStyle name="Normal 2 2 3 2 2 4_DALYVIAI" xfId="372"/>
    <cellStyle name="Normal 2 2 3 2 2 5" xfId="373"/>
    <cellStyle name="Normal 2 2 3 2 2 5 2" xfId="374"/>
    <cellStyle name="Normal 2 2 3 2 2 5 3" xfId="375"/>
    <cellStyle name="Normal 2 2 3 2 2 5 4" xfId="376"/>
    <cellStyle name="Normal 2 2 3 2 2 5_DALYVIAI" xfId="377"/>
    <cellStyle name="Normal 2 2 3 2 2 6" xfId="378"/>
    <cellStyle name="Normal 2 2 3 2 2 7" xfId="379"/>
    <cellStyle name="Normal 2 2 3 2 2 8" xfId="380"/>
    <cellStyle name="Normal 2 2 3 2 2_DALYVIAI" xfId="381"/>
    <cellStyle name="Normal 2 2 3 2 3" xfId="382"/>
    <cellStyle name="Normal 2 2 3 2 4" xfId="383"/>
    <cellStyle name="Normal 2 2 3 2 5" xfId="384"/>
    <cellStyle name="Normal 2 2 3 2_DALYVIAI" xfId="385"/>
    <cellStyle name="Normal 2 2 3 3" xfId="386"/>
    <cellStyle name="Normal 2 2 3 3 2" xfId="387"/>
    <cellStyle name="Normal 2 2 3 3 2 2" xfId="388"/>
    <cellStyle name="Normal 2 2 3 3 2 3" xfId="389"/>
    <cellStyle name="Normal 2 2 3 3 2 4" xfId="390"/>
    <cellStyle name="Normal 2 2 3 3 2_DALYVIAI" xfId="391"/>
    <cellStyle name="Normal 2 2 3 3 3" xfId="392"/>
    <cellStyle name="Normal 2 2 3 3 3 2" xfId="393"/>
    <cellStyle name="Normal 2 2 3 3 3 3" xfId="394"/>
    <cellStyle name="Normal 2 2 3 3 3 4" xfId="395"/>
    <cellStyle name="Normal 2 2 3 3 3_DALYVIAI" xfId="396"/>
    <cellStyle name="Normal 2 2 3 3 4" xfId="397"/>
    <cellStyle name="Normal 2 2 3 3 5" xfId="398"/>
    <cellStyle name="Normal 2 2 3 3 6" xfId="399"/>
    <cellStyle name="Normal 2 2 3 3 7" xfId="400"/>
    <cellStyle name="Normal 2 2 3 3_DALYVIAI" xfId="401"/>
    <cellStyle name="Normal 2 2 3 4" xfId="402"/>
    <cellStyle name="Normal 2 2 3 4 2" xfId="403"/>
    <cellStyle name="Normal 2 2 3 4 2 2" xfId="404"/>
    <cellStyle name="Normal 2 2 3 4 2 2 2" xfId="405"/>
    <cellStyle name="Normal 2 2 3 4 2 2 3" xfId="406"/>
    <cellStyle name="Normal 2 2 3 4 2 2 4" xfId="407"/>
    <cellStyle name="Normal 2 2 3 4 2 2_DALYVIAI" xfId="408"/>
    <cellStyle name="Normal 2 2 3 4 2 3" xfId="409"/>
    <cellStyle name="Normal 2 2 3 4 2 3 2" xfId="410"/>
    <cellStyle name="Normal 2 2 3 4 2 3 3" xfId="411"/>
    <cellStyle name="Normal 2 2 3 4 2 3 4" xfId="412"/>
    <cellStyle name="Normal 2 2 3 4 2 3_DALYVIAI" xfId="413"/>
    <cellStyle name="Normal 2 2 3 4 2 4" xfId="414"/>
    <cellStyle name="Normal 2 2 3 4 2 5" xfId="415"/>
    <cellStyle name="Normal 2 2 3 4 2 6" xfId="416"/>
    <cellStyle name="Normal 2 2 3 4 2_DALYVIAI" xfId="417"/>
    <cellStyle name="Normal 2 2 3 4 3" xfId="418"/>
    <cellStyle name="Normal 2 2 3 4 4" xfId="419"/>
    <cellStyle name="Normal 2 2 3 4 5" xfId="420"/>
    <cellStyle name="Normal 2 2 3 4_DALYVIAI" xfId="421"/>
    <cellStyle name="Normal 2 2 3 5" xfId="422"/>
    <cellStyle name="Normal 2 2 3 5 2" xfId="423"/>
    <cellStyle name="Normal 2 2 3 5 2 2" xfId="424"/>
    <cellStyle name="Normal 2 2 3 5 2 3" xfId="425"/>
    <cellStyle name="Normal 2 2 3 5 2 4" xfId="426"/>
    <cellStyle name="Normal 2 2 3 5 2_DALYVIAI" xfId="427"/>
    <cellStyle name="Normal 2 2 3 5 3" xfId="428"/>
    <cellStyle name="Normal 2 2 3 5 3 2" xfId="429"/>
    <cellStyle name="Normal 2 2 3 5 3 3" xfId="430"/>
    <cellStyle name="Normal 2 2 3 5 3 4" xfId="431"/>
    <cellStyle name="Normal 2 2 3 5 3_DALYVIAI" xfId="432"/>
    <cellStyle name="Normal 2 2 3 5 4" xfId="433"/>
    <cellStyle name="Normal 2 2 3 5 4 2" xfId="434"/>
    <cellStyle name="Normal 2 2 3 5 4 3" xfId="435"/>
    <cellStyle name="Normal 2 2 3 5 4 4" xfId="436"/>
    <cellStyle name="Normal 2 2 3 5 4_DALYVIAI" xfId="437"/>
    <cellStyle name="Normal 2 2 3 5 5" xfId="438"/>
    <cellStyle name="Normal 2 2 3 5 5 2" xfId="439"/>
    <cellStyle name="Normal 2 2 3 5 5 3" xfId="440"/>
    <cellStyle name="Normal 2 2 3 5 5 4" xfId="441"/>
    <cellStyle name="Normal 2 2 3 5 5_DALYVIAI" xfId="442"/>
    <cellStyle name="Normal 2 2 3 5 6" xfId="443"/>
    <cellStyle name="Normal 2 2 3 5 7" xfId="444"/>
    <cellStyle name="Normal 2 2 3 5 8" xfId="445"/>
    <cellStyle name="Normal 2 2 3 5_DALYVIAI" xfId="446"/>
    <cellStyle name="Normal 2 2 3 6" xfId="447"/>
    <cellStyle name="Normal 2 2 3 6 10" xfId="448"/>
    <cellStyle name="Normal 2 2 3 6 11" xfId="449"/>
    <cellStyle name="Normal 2 2 3 6 12" xfId="450"/>
    <cellStyle name="Normal 2 2 3 6 2" xfId="451"/>
    <cellStyle name="Normal 2 2 3 6 2 2" xfId="452"/>
    <cellStyle name="Normal 2 2 3 6 2_DALYVIAI" xfId="453"/>
    <cellStyle name="Normal 2 2 3 6 3" xfId="454"/>
    <cellStyle name="Normal 2 2 3 6 3 2" xfId="455"/>
    <cellStyle name="Normal 2 2 3 6 3_LJnP0207" xfId="456"/>
    <cellStyle name="Normal 2 2 3 6 4" xfId="457"/>
    <cellStyle name="Normal 2 2 3 6 5" xfId="458"/>
    <cellStyle name="Normal 2 2 3 6 6" xfId="459"/>
    <cellStyle name="Normal 2 2 3 6 7" xfId="460"/>
    <cellStyle name="Normal 2 2 3 6 8" xfId="461"/>
    <cellStyle name="Normal 2 2 3 6 9" xfId="462"/>
    <cellStyle name="Normal 2 2 3 6_DALYVIAI" xfId="463"/>
    <cellStyle name="Normal 2 2 3 7" xfId="464"/>
    <cellStyle name="Normal 2 2 3 8" xfId="465"/>
    <cellStyle name="Normal 2 2 3 9" xfId="466"/>
    <cellStyle name="Normal 2 2 3_DALYVIAI" xfId="467"/>
    <cellStyle name="Normal 2 2 4" xfId="468"/>
    <cellStyle name="Normal 2 2 4 2" xfId="469"/>
    <cellStyle name="Normal 2 2 4 2 2" xfId="470"/>
    <cellStyle name="Normal 2 2 4 2 3" xfId="471"/>
    <cellStyle name="Normal 2 2 4 2 4" xfId="472"/>
    <cellStyle name="Normal 2 2 4 2_DALYVIAI" xfId="473"/>
    <cellStyle name="Normal 2 2 4 3" xfId="474"/>
    <cellStyle name="Normal 2 2 4 4" xfId="475"/>
    <cellStyle name="Normal 2 2 4 5" xfId="476"/>
    <cellStyle name="Normal 2 2 4_DALYVIAI" xfId="477"/>
    <cellStyle name="Normal 2 2 5" xfId="478"/>
    <cellStyle name="Normal 2 2 5 2" xfId="479"/>
    <cellStyle name="Normal 2 2 5 2 2" xfId="480"/>
    <cellStyle name="Normal 2 2 5 2 2 2" xfId="481"/>
    <cellStyle name="Normal 2 2 5 2 2 3" xfId="482"/>
    <cellStyle name="Normal 2 2 5 2 2 4" xfId="483"/>
    <cellStyle name="Normal 2 2 5 2 2_DALYVIAI" xfId="484"/>
    <cellStyle name="Normal 2 2 5 2 3" xfId="485"/>
    <cellStyle name="Normal 2 2 5 2 3 2" xfId="486"/>
    <cellStyle name="Normal 2 2 5 2 3 3" xfId="487"/>
    <cellStyle name="Normal 2 2 5 2 3 4" xfId="488"/>
    <cellStyle name="Normal 2 2 5 2 3_DALYVIAI" xfId="489"/>
    <cellStyle name="Normal 2 2 5 2 4" xfId="490"/>
    <cellStyle name="Normal 2 2 5 2 5" xfId="491"/>
    <cellStyle name="Normal 2 2 5 2 6" xfId="492"/>
    <cellStyle name="Normal 2 2 5 2_DALYVIAI" xfId="493"/>
    <cellStyle name="Normal 2 2 5 3" xfId="494"/>
    <cellStyle name="Normal 2 2 5 4" xfId="495"/>
    <cellStyle name="Normal 2 2 5 5" xfId="496"/>
    <cellStyle name="Normal 2 2 5_DALYVIAI" xfId="497"/>
    <cellStyle name="Normal 2 2 6" xfId="498"/>
    <cellStyle name="Normal 2 2 6 2" xfId="499"/>
    <cellStyle name="Normal 2 2 6 3" xfId="500"/>
    <cellStyle name="Normal 2 2 6 4" xfId="501"/>
    <cellStyle name="Normal 2 2 6_DALYVIAI" xfId="502"/>
    <cellStyle name="Normal 2 2 7" xfId="503"/>
    <cellStyle name="Normal 2 2 7 2" xfId="504"/>
    <cellStyle name="Normal 2 2 7 3" xfId="505"/>
    <cellStyle name="Normal 2 2 7 4" xfId="506"/>
    <cellStyle name="Normal 2 2 7_DALYVIAI" xfId="507"/>
    <cellStyle name="Normal 2 2 8" xfId="508"/>
    <cellStyle name="Normal 2 2 8 2" xfId="509"/>
    <cellStyle name="Normal 2 2 8 3" xfId="510"/>
    <cellStyle name="Normal 2 2 8 4" xfId="511"/>
    <cellStyle name="Normal 2 2 8_DALYVIAI" xfId="512"/>
    <cellStyle name="Normal 2 2 9" xfId="513"/>
    <cellStyle name="Normal 2 2_DALYVIAI" xfId="514"/>
    <cellStyle name="Normal 2 3" xfId="515"/>
    <cellStyle name="Normal 2 4" xfId="516"/>
    <cellStyle name="Normal 2 4 2" xfId="517"/>
    <cellStyle name="Normal 2 4 3" xfId="518"/>
    <cellStyle name="Normal 2 4 3 2" xfId="519"/>
    <cellStyle name="Normal 2 4 3 3" xfId="520"/>
    <cellStyle name="Normal 2 4 3 4" xfId="521"/>
    <cellStyle name="Normal 2 5" xfId="522"/>
    <cellStyle name="Normal 2 6" xfId="523"/>
    <cellStyle name="Normal 2 7" xfId="524"/>
    <cellStyle name="Normal 2 7 2" xfId="525"/>
    <cellStyle name="Normal 2 7 3" xfId="526"/>
    <cellStyle name="Normal 2 7 4" xfId="527"/>
    <cellStyle name="Normal 2 7_DALYVIAI" xfId="528"/>
    <cellStyle name="Normal 2 8" xfId="529"/>
    <cellStyle name="Normal 2 9" xfId="530"/>
    <cellStyle name="Normal 2_DALYVIAI" xfId="531"/>
    <cellStyle name="Normal 20" xfId="532"/>
    <cellStyle name="Normal 20 2" xfId="533"/>
    <cellStyle name="Normal 20 2 2" xfId="534"/>
    <cellStyle name="Normal 20 2 2 2" xfId="535"/>
    <cellStyle name="Normal 20 2 2 3" xfId="536"/>
    <cellStyle name="Normal 20 2 2 4" xfId="537"/>
    <cellStyle name="Normal 20 2 2_DALYVIAI" xfId="538"/>
    <cellStyle name="Normal 20 2 3" xfId="539"/>
    <cellStyle name="Normal 20 2 4" xfId="540"/>
    <cellStyle name="Normal 20 2 5" xfId="541"/>
    <cellStyle name="Normal 20 2_DALYVIAI" xfId="542"/>
    <cellStyle name="Normal 20 3" xfId="543"/>
    <cellStyle name="Normal 20 3 2" xfId="544"/>
    <cellStyle name="Normal 20 3 3" xfId="545"/>
    <cellStyle name="Normal 20 3 4" xfId="546"/>
    <cellStyle name="Normal 20 3_DALYVIAI" xfId="547"/>
    <cellStyle name="Normal 20 4" xfId="548"/>
    <cellStyle name="Normal 20 5" xfId="549"/>
    <cellStyle name="Normal 20_DALYVIAI" xfId="550"/>
    <cellStyle name="Normal 21" xfId="551"/>
    <cellStyle name="Normal 21 2" xfId="552"/>
    <cellStyle name="Normal 21 2 2" xfId="553"/>
    <cellStyle name="Normal 21 2 2 2" xfId="554"/>
    <cellStyle name="Normal 21 2 2 3" xfId="555"/>
    <cellStyle name="Normal 21 2 2 4" xfId="556"/>
    <cellStyle name="Normal 21 2 2_DALYVIAI" xfId="557"/>
    <cellStyle name="Normal 21 2 3" xfId="558"/>
    <cellStyle name="Normal 21 2 4" xfId="559"/>
    <cellStyle name="Normal 21 2 5" xfId="560"/>
    <cellStyle name="Normal 21 2_DALYVIAI" xfId="561"/>
    <cellStyle name="Normal 21 3" xfId="562"/>
    <cellStyle name="Normal 21 3 2" xfId="563"/>
    <cellStyle name="Normal 21 3 3" xfId="564"/>
    <cellStyle name="Normal 21 3 4" xfId="565"/>
    <cellStyle name="Normal 21 3_DALYVIAI" xfId="566"/>
    <cellStyle name="Normal 21 4" xfId="567"/>
    <cellStyle name="Normal 21 5" xfId="568"/>
    <cellStyle name="Normal 21_DALYVIAI" xfId="569"/>
    <cellStyle name="Normal 22" xfId="570"/>
    <cellStyle name="Normal 22 2" xfId="571"/>
    <cellStyle name="Normal 22 2 2" xfId="572"/>
    <cellStyle name="Normal 22 2 2 2" xfId="573"/>
    <cellStyle name="Normal 22 2 2 3" xfId="574"/>
    <cellStyle name="Normal 22 2 2 4" xfId="575"/>
    <cellStyle name="Normal 22 2 2_DALYVIAI" xfId="576"/>
    <cellStyle name="Normal 22 2 3" xfId="577"/>
    <cellStyle name="Normal 22 2 4" xfId="578"/>
    <cellStyle name="Normal 22 2 5" xfId="579"/>
    <cellStyle name="Normal 22 2_DALYVIAI" xfId="580"/>
    <cellStyle name="Normal 22 3" xfId="581"/>
    <cellStyle name="Normal 22 3 2" xfId="582"/>
    <cellStyle name="Normal 22 3 3" xfId="583"/>
    <cellStyle name="Normal 22 3 4" xfId="584"/>
    <cellStyle name="Normal 22 3_DALYVIAI" xfId="585"/>
    <cellStyle name="Normal 22 4" xfId="586"/>
    <cellStyle name="Normal 22 5" xfId="587"/>
    <cellStyle name="Normal 22_DALYVIAI" xfId="588"/>
    <cellStyle name="Normal 23" xfId="589"/>
    <cellStyle name="Normal 23 2" xfId="590"/>
    <cellStyle name="Normal 23 3" xfId="591"/>
    <cellStyle name="Normal 24" xfId="592"/>
    <cellStyle name="Normal 24 2" xfId="593"/>
    <cellStyle name="Normal 24 3" xfId="594"/>
    <cellStyle name="Normal 24 4" xfId="595"/>
    <cellStyle name="Normal 24 5" xfId="596"/>
    <cellStyle name="Normal 24_DALYVIAI" xfId="597"/>
    <cellStyle name="Normal 25" xfId="598"/>
    <cellStyle name="Normal 25 2" xfId="599"/>
    <cellStyle name="Normal 25 3" xfId="600"/>
    <cellStyle name="Normal 25_DALYVIAI" xfId="601"/>
    <cellStyle name="Normal 26" xfId="602"/>
    <cellStyle name="Normal 26 2" xfId="603"/>
    <cellStyle name="Normal 26 3" xfId="604"/>
    <cellStyle name="Normal 26 4" xfId="605"/>
    <cellStyle name="Normal 26_DALYVIAI" xfId="606"/>
    <cellStyle name="Normal 27" xfId="607"/>
    <cellStyle name="Normal 28" xfId="608"/>
    <cellStyle name="Normal 29" xfId="609"/>
    <cellStyle name="Normal 3" xfId="610"/>
    <cellStyle name="Normal 3 10" xfId="611"/>
    <cellStyle name="Normal 3 11" xfId="612"/>
    <cellStyle name="Normal 3 12" xfId="613"/>
    <cellStyle name="Normal 3 12 2" xfId="614"/>
    <cellStyle name="Normal 3 12 3" xfId="615"/>
    <cellStyle name="Normal 3 12 4" xfId="616"/>
    <cellStyle name="Normal 3 12_DALYVIAI" xfId="617"/>
    <cellStyle name="Normal 3 13" xfId="618"/>
    <cellStyle name="Normal 3 14" xfId="619"/>
    <cellStyle name="Normal 3 2" xfId="620"/>
    <cellStyle name="Normal 3 3" xfId="621"/>
    <cellStyle name="Normal 3 3 2" xfId="622"/>
    <cellStyle name="Normal 3 3 3" xfId="623"/>
    <cellStyle name="Normal 3 4" xfId="624"/>
    <cellStyle name="Normal 3 4 2" xfId="625"/>
    <cellStyle name="Normal 3 4 3" xfId="626"/>
    <cellStyle name="Normal 3 5" xfId="627"/>
    <cellStyle name="Normal 3 5 2" xfId="628"/>
    <cellStyle name="Normal 3 6" xfId="629"/>
    <cellStyle name="Normal 3 7" xfId="630"/>
    <cellStyle name="Normal 3 8" xfId="631"/>
    <cellStyle name="Normal 3 8 2" xfId="632"/>
    <cellStyle name="Normal 3 9" xfId="633"/>
    <cellStyle name="Normal 3 9 2" xfId="634"/>
    <cellStyle name="Normal 3_100 M" xfId="635"/>
    <cellStyle name="Normal 30" xfId="636"/>
    <cellStyle name="Normal 31" xfId="637"/>
    <cellStyle name="Normal 32" xfId="638"/>
    <cellStyle name="Normal 32 2" xfId="639"/>
    <cellStyle name="Normal 33" xfId="640"/>
    <cellStyle name="Normal 34" xfId="641"/>
    <cellStyle name="Normal 4" xfId="642"/>
    <cellStyle name="Normal 4 10" xfId="643"/>
    <cellStyle name="Normal 4 11" xfId="644"/>
    <cellStyle name="Normal 4 11 2" xfId="645"/>
    <cellStyle name="Normal 4 11 3" xfId="646"/>
    <cellStyle name="Normal 4 11 4" xfId="647"/>
    <cellStyle name="Normal 4 11_DALYVIAI" xfId="648"/>
    <cellStyle name="Normal 4 12" xfId="649"/>
    <cellStyle name="Normal 4 13" xfId="650"/>
    <cellStyle name="Normal 4 2" xfId="651"/>
    <cellStyle name="Normal 4 2 2" xfId="652"/>
    <cellStyle name="Normal 4 2 2 2" xfId="653"/>
    <cellStyle name="Normal 4 2 2 3" xfId="654"/>
    <cellStyle name="Normal 4 2 2 4" xfId="655"/>
    <cellStyle name="Normal 4 2 2_DALYVIAI" xfId="656"/>
    <cellStyle name="Normal 4 2 3" xfId="657"/>
    <cellStyle name="Normal 4 2 3 2" xfId="658"/>
    <cellStyle name="Normal 4 2 3 3" xfId="659"/>
    <cellStyle name="Normal 4 2 3 4" xfId="660"/>
    <cellStyle name="Normal 4 2 3_DALYVIAI" xfId="661"/>
    <cellStyle name="Normal 4 2 4" xfId="662"/>
    <cellStyle name="Normal 4 2 5" xfId="663"/>
    <cellStyle name="Normal 4 2 6" xfId="664"/>
    <cellStyle name="Normal 4 2_DALYVIAI" xfId="665"/>
    <cellStyle name="Normal 4 3" xfId="666"/>
    <cellStyle name="Normal 4 3 2" xfId="667"/>
    <cellStyle name="Normal 4 3 3" xfId="668"/>
    <cellStyle name="Normal 4 3 4" xfId="669"/>
    <cellStyle name="Normal 4 3_DALYVIAI" xfId="670"/>
    <cellStyle name="Normal 4 4" xfId="671"/>
    <cellStyle name="Normal 4 4 2" xfId="672"/>
    <cellStyle name="Normal 4 4 3" xfId="673"/>
    <cellStyle name="Normal 4 4 4" xfId="674"/>
    <cellStyle name="Normal 4 4_DALYVIAI" xfId="675"/>
    <cellStyle name="Normal 4 5" xfId="676"/>
    <cellStyle name="Normal 4 5 2" xfId="677"/>
    <cellStyle name="Normal 4 5 3" xfId="678"/>
    <cellStyle name="Normal 4 5 4" xfId="679"/>
    <cellStyle name="Normal 4 5_DALYVIAI" xfId="680"/>
    <cellStyle name="Normal 4 6" xfId="681"/>
    <cellStyle name="Normal 4 6 2" xfId="682"/>
    <cellStyle name="Normal 4 6 3" xfId="683"/>
    <cellStyle name="Normal 4 6 4" xfId="684"/>
    <cellStyle name="Normal 4 6_DALYVIAI" xfId="685"/>
    <cellStyle name="Normal 4 7" xfId="686"/>
    <cellStyle name="Normal 4 7 2" xfId="687"/>
    <cellStyle name="Normal 4 7 3" xfId="688"/>
    <cellStyle name="Normal 4 7 4" xfId="689"/>
    <cellStyle name="Normal 4 7_DALYVIAI" xfId="690"/>
    <cellStyle name="Normal 4 8" xfId="691"/>
    <cellStyle name="Normal 4 8 2" xfId="692"/>
    <cellStyle name="Normal 4 8 3" xfId="693"/>
    <cellStyle name="Normal 4 8 4" xfId="694"/>
    <cellStyle name="Normal 4 8_DALYVIAI" xfId="695"/>
    <cellStyle name="Normal 4 9" xfId="696"/>
    <cellStyle name="Normal 4 9 2" xfId="697"/>
    <cellStyle name="Normal 4 9 2 2" xfId="698"/>
    <cellStyle name="Normal 4 9 2 3" xfId="699"/>
    <cellStyle name="Normal 4 9 2 4" xfId="700"/>
    <cellStyle name="Normal 4 9 2_DALYVIAI" xfId="701"/>
    <cellStyle name="Normal 4 9 3" xfId="702"/>
    <cellStyle name="Normal 4 9 3 2" xfId="703"/>
    <cellStyle name="Normal 4 9 3 3" xfId="704"/>
    <cellStyle name="Normal 4 9 3 4" xfId="705"/>
    <cellStyle name="Normal 4 9 3_DALYVIAI" xfId="706"/>
    <cellStyle name="Normal 4 9 4" xfId="707"/>
    <cellStyle name="Normal 4 9 4 2" xfId="708"/>
    <cellStyle name="Normal 4 9 4 3" xfId="709"/>
    <cellStyle name="Normal 4 9 4 4" xfId="710"/>
    <cellStyle name="Normal 4 9 4_DALYVIAI" xfId="711"/>
    <cellStyle name="Normal 4 9 5" xfId="712"/>
    <cellStyle name="Normal 4 9 5 2" xfId="713"/>
    <cellStyle name="Normal 4 9 5 3" xfId="714"/>
    <cellStyle name="Normal 4 9 5 4" xfId="715"/>
    <cellStyle name="Normal 4 9 5_DALYVIAI" xfId="716"/>
    <cellStyle name="Normal 4 9 6" xfId="717"/>
    <cellStyle name="Normal 4 9 6 2" xfId="718"/>
    <cellStyle name="Normal 4 9 6 3" xfId="719"/>
    <cellStyle name="Normal 4 9 6 4" xfId="720"/>
    <cellStyle name="Normal 4 9 6_DALYVIAI" xfId="721"/>
    <cellStyle name="Normal 4 9 7" xfId="722"/>
    <cellStyle name="Normal 4 9 8" xfId="723"/>
    <cellStyle name="Normal 4 9 9" xfId="724"/>
    <cellStyle name="Normal 4 9_DALYVIAI" xfId="725"/>
    <cellStyle name="Normal 4_3000kl M" xfId="726"/>
    <cellStyle name="Normal 5" xfId="727"/>
    <cellStyle name="Normal 5 2" xfId="728"/>
    <cellStyle name="Normal 5 2 2" xfId="729"/>
    <cellStyle name="Normal 5 2 2 2" xfId="730"/>
    <cellStyle name="Normal 5 2 2 3" xfId="731"/>
    <cellStyle name="Normal 5 2 2 4" xfId="732"/>
    <cellStyle name="Normal 5 2 2_DALYVIAI" xfId="733"/>
    <cellStyle name="Normal 5 2 3" xfId="734"/>
    <cellStyle name="Normal 5 2 4" xfId="735"/>
    <cellStyle name="Normal 5 2 5" xfId="736"/>
    <cellStyle name="Normal 5 2_DALYVIAI" xfId="737"/>
    <cellStyle name="Normal 5 3" xfId="738"/>
    <cellStyle name="Normal 5 3 2" xfId="739"/>
    <cellStyle name="Normal 5 3 3" xfId="740"/>
    <cellStyle name="Normal 5 3 4" xfId="741"/>
    <cellStyle name="Normal 5 3_DALYVIAI" xfId="742"/>
    <cellStyle name="Normal 5 4" xfId="743"/>
    <cellStyle name="Normal 5 5" xfId="744"/>
    <cellStyle name="Normal 5_DALYVIAI" xfId="745"/>
    <cellStyle name="Normal 6" xfId="746"/>
    <cellStyle name="Normal 6 2" xfId="747"/>
    <cellStyle name="Normal 6 2 2" xfId="748"/>
    <cellStyle name="Normal 6 2 3" xfId="749"/>
    <cellStyle name="Normal 6 2 4" xfId="750"/>
    <cellStyle name="Normal 6 2_DALYVIAI" xfId="751"/>
    <cellStyle name="Normal 6 3" xfId="752"/>
    <cellStyle name="Normal 6 3 2" xfId="753"/>
    <cellStyle name="Normal 6 3 3" xfId="754"/>
    <cellStyle name="Normal 6 3 4" xfId="755"/>
    <cellStyle name="Normal 6 3_DALYVIAI" xfId="756"/>
    <cellStyle name="Normal 6 4" xfId="757"/>
    <cellStyle name="Normal 6 4 2" xfId="758"/>
    <cellStyle name="Normal 6 4 3" xfId="759"/>
    <cellStyle name="Normal 6 4 4" xfId="760"/>
    <cellStyle name="Normal 6 4_DALYVIAI" xfId="761"/>
    <cellStyle name="Normal 6 5" xfId="762"/>
    <cellStyle name="Normal 6 6" xfId="763"/>
    <cellStyle name="Normal 6 6 2" xfId="764"/>
    <cellStyle name="Normal 6 6 3" xfId="765"/>
    <cellStyle name="Normal 6 6 4" xfId="766"/>
    <cellStyle name="Normal 6 6_DALYVIAI" xfId="767"/>
    <cellStyle name="Normal 6 7" xfId="768"/>
    <cellStyle name="Normal 6 8" xfId="769"/>
    <cellStyle name="Normal 6_DALYVIAI" xfId="770"/>
    <cellStyle name="Normal 7" xfId="771"/>
    <cellStyle name="Normal 7 2" xfId="772"/>
    <cellStyle name="Normal 7 2 2" xfId="773"/>
    <cellStyle name="Normal 7 2 2 2" xfId="774"/>
    <cellStyle name="Normal 7 2 2 3" xfId="775"/>
    <cellStyle name="Normal 7 2 2 4" xfId="776"/>
    <cellStyle name="Normal 7 2 2_DALYVIAI" xfId="777"/>
    <cellStyle name="Normal 7 2 3" xfId="778"/>
    <cellStyle name="Normal 7 2 4" xfId="779"/>
    <cellStyle name="Normal 7 2 5" xfId="780"/>
    <cellStyle name="Normal 7 2_DALYVIAI" xfId="781"/>
    <cellStyle name="Normal 7 3" xfId="782"/>
    <cellStyle name="Normal 7 4" xfId="783"/>
    <cellStyle name="Normal 7 5" xfId="784"/>
    <cellStyle name="Normal 7 6" xfId="785"/>
    <cellStyle name="Normal 7_DALYVIAI" xfId="786"/>
    <cellStyle name="Normal 8" xfId="787"/>
    <cellStyle name="Normal 8 2" xfId="788"/>
    <cellStyle name="Normal 8 2 2" xfId="789"/>
    <cellStyle name="Normal 8 2 2 2" xfId="790"/>
    <cellStyle name="Normal 8 2 2 3" xfId="791"/>
    <cellStyle name="Normal 8 2 2 4" xfId="792"/>
    <cellStyle name="Normal 8 2 2_DALYVIAI" xfId="793"/>
    <cellStyle name="Normal 8 2 3" xfId="794"/>
    <cellStyle name="Normal 8 2 4" xfId="795"/>
    <cellStyle name="Normal 8 2 5" xfId="796"/>
    <cellStyle name="Normal 8 2_DALYVIAI" xfId="797"/>
    <cellStyle name="Normal 8 3" xfId="798"/>
    <cellStyle name="Normal 8 4" xfId="799"/>
    <cellStyle name="Normal 8 4 2" xfId="800"/>
    <cellStyle name="Normal 8 4 3" xfId="801"/>
    <cellStyle name="Normal 8 4 4" xfId="802"/>
    <cellStyle name="Normal 8 4_DALYVIAI" xfId="803"/>
    <cellStyle name="Normal 8 5" xfId="804"/>
    <cellStyle name="Normal 8 6" xfId="805"/>
    <cellStyle name="Normal 8_DALYVIAI" xfId="806"/>
    <cellStyle name="Normal 9" xfId="807"/>
    <cellStyle name="Normal 9 2" xfId="808"/>
    <cellStyle name="Normal 9 2 2" xfId="809"/>
    <cellStyle name="Normal 9 2 3" xfId="810"/>
    <cellStyle name="Normal 9 2 4" xfId="811"/>
    <cellStyle name="Normal 9 2_DALYVIAI" xfId="812"/>
    <cellStyle name="Normal 9 3" xfId="813"/>
    <cellStyle name="Normal 9 3 2" xfId="814"/>
    <cellStyle name="Normal 9 3 2 2" xfId="815"/>
    <cellStyle name="Normal 9 3 2 3" xfId="816"/>
    <cellStyle name="Normal 9 3 2 4" xfId="817"/>
    <cellStyle name="Normal 9 3 2_DALYVIAI" xfId="818"/>
    <cellStyle name="Normal 9 3 3" xfId="819"/>
    <cellStyle name="Normal 9 3 4" xfId="820"/>
    <cellStyle name="Normal 9 3 5" xfId="821"/>
    <cellStyle name="Normal 9 3_DALYVIAI" xfId="822"/>
    <cellStyle name="Normal 9 4" xfId="823"/>
    <cellStyle name="Normal 9 4 2" xfId="824"/>
    <cellStyle name="Normal 9 4 3" xfId="825"/>
    <cellStyle name="Normal 9 4 4" xfId="826"/>
    <cellStyle name="Normal 9 4_DALYVIAI" xfId="827"/>
    <cellStyle name="Normal 9 5" xfId="828"/>
    <cellStyle name="Normal 9 5 2" xfId="829"/>
    <cellStyle name="Normal 9 5 3" xfId="830"/>
    <cellStyle name="Normal 9 5 4" xfId="831"/>
    <cellStyle name="Normal 9 5_DALYVIAI" xfId="832"/>
    <cellStyle name="Normal 9 6" xfId="833"/>
    <cellStyle name="Normal 9 7" xfId="834"/>
    <cellStyle name="Normal 9 7 2" xfId="835"/>
    <cellStyle name="Normal 9 7 3" xfId="836"/>
    <cellStyle name="Normal 9 7 4" xfId="837"/>
    <cellStyle name="Normal 9 7_DALYVIAI" xfId="838"/>
    <cellStyle name="Normal 9 8" xfId="839"/>
    <cellStyle name="Normal 9 9" xfId="840"/>
    <cellStyle name="Normal 9_DALYVIAI" xfId="841"/>
    <cellStyle name="Note" xfId="842"/>
    <cellStyle name="Output" xfId="843"/>
    <cellStyle name="Paprastas 2" xfId="844"/>
    <cellStyle name="Paprastas 2 2" xfId="845"/>
    <cellStyle name="Paprastas_100 V" xfId="846"/>
    <cellStyle name="Paprastas_110bb V" xfId="847"/>
    <cellStyle name="Paprastas_Ietis M" xfId="848"/>
    <cellStyle name="Paprastas_Ietis V" xfId="849"/>
    <cellStyle name="Paprastas_Karits M" xfId="850"/>
    <cellStyle name="Paryškinimas 1" xfId="851"/>
    <cellStyle name="Paryškinimas 2" xfId="852"/>
    <cellStyle name="Paryškinimas 3" xfId="853"/>
    <cellStyle name="Paryškinimas 4" xfId="854"/>
    <cellStyle name="Paryškinimas 5" xfId="855"/>
    <cellStyle name="Paryškinimas 6" xfId="856"/>
    <cellStyle name="Pastaba" xfId="857"/>
    <cellStyle name="Pavadinimas" xfId="858"/>
    <cellStyle name="Percent" xfId="859"/>
    <cellStyle name="Percent [0]" xfId="860"/>
    <cellStyle name="Percent [00]" xfId="861"/>
    <cellStyle name="Percent [2]" xfId="862"/>
    <cellStyle name="PrePop Currency (0)" xfId="863"/>
    <cellStyle name="PrePop Currency (2)" xfId="864"/>
    <cellStyle name="PrePop Units (0)" xfId="865"/>
    <cellStyle name="PrePop Units (1)" xfId="866"/>
    <cellStyle name="PrePop Units (2)" xfId="867"/>
    <cellStyle name="Skaičiavimas" xfId="868"/>
    <cellStyle name="Suma" xfId="869"/>
    <cellStyle name="Susietas langelis" xfId="870"/>
    <cellStyle name="Text Indent A" xfId="871"/>
    <cellStyle name="Text Indent B" xfId="872"/>
    <cellStyle name="Text Indent C" xfId="873"/>
    <cellStyle name="Tikrinimo langelis" xfId="874"/>
    <cellStyle name="Title" xfId="875"/>
    <cellStyle name="Total" xfId="876"/>
    <cellStyle name="Walutowy [0]_PLDT" xfId="877"/>
    <cellStyle name="Walutowy_PLDT" xfId="878"/>
    <cellStyle name="Warning Text" xfId="879"/>
    <cellStyle name="Обычный_Итоговый спартакиады 1991-92 г" xfId="8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57150</xdr:rowOff>
    </xdr:from>
    <xdr:to>
      <xdr:col>11</xdr:col>
      <xdr:colOff>342900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5715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238125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571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9525</xdr:rowOff>
    </xdr:from>
    <xdr:to>
      <xdr:col>11</xdr:col>
      <xdr:colOff>123825</xdr:colOff>
      <xdr:row>1</xdr:row>
      <xdr:rowOff>266700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47625</xdr:rowOff>
    </xdr:from>
    <xdr:to>
      <xdr:col>12</xdr:col>
      <xdr:colOff>38100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476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47625</xdr:rowOff>
    </xdr:from>
    <xdr:to>
      <xdr:col>12</xdr:col>
      <xdr:colOff>38100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76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66675</xdr:rowOff>
    </xdr:from>
    <xdr:to>
      <xdr:col>10</xdr:col>
      <xdr:colOff>38100</xdr:colOff>
      <xdr:row>2</xdr:row>
      <xdr:rowOff>133350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66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0</xdr:row>
      <xdr:rowOff>57150</xdr:rowOff>
    </xdr:from>
    <xdr:to>
      <xdr:col>12</xdr:col>
      <xdr:colOff>190500</xdr:colOff>
      <xdr:row>3</xdr:row>
      <xdr:rowOff>47625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5715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123825</xdr:rowOff>
    </xdr:from>
    <xdr:to>
      <xdr:col>8</xdr:col>
      <xdr:colOff>628650</xdr:colOff>
      <xdr:row>3</xdr:row>
      <xdr:rowOff>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238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0</xdr:row>
      <xdr:rowOff>200025</xdr:rowOff>
    </xdr:from>
    <xdr:to>
      <xdr:col>13</xdr:col>
      <xdr:colOff>38100</xdr:colOff>
      <xdr:row>3</xdr:row>
      <xdr:rowOff>180975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00025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85725</xdr:colOff>
      <xdr:row>2</xdr:row>
      <xdr:rowOff>85725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22</xdr:col>
      <xdr:colOff>85725</xdr:colOff>
      <xdr:row>2</xdr:row>
      <xdr:rowOff>85725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57150</xdr:rowOff>
    </xdr:from>
    <xdr:to>
      <xdr:col>11</xdr:col>
      <xdr:colOff>342900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715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20</xdr:col>
      <xdr:colOff>114300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47625</xdr:rowOff>
    </xdr:from>
    <xdr:to>
      <xdr:col>13</xdr:col>
      <xdr:colOff>19050</xdr:colOff>
      <xdr:row>2</xdr:row>
      <xdr:rowOff>57150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4762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0</xdr:row>
      <xdr:rowOff>19050</xdr:rowOff>
    </xdr:from>
    <xdr:to>
      <xdr:col>19</xdr:col>
      <xdr:colOff>47625</xdr:colOff>
      <xdr:row>3</xdr:row>
      <xdr:rowOff>142875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050"/>
          <a:ext cx="43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38100</xdr:rowOff>
    </xdr:from>
    <xdr:to>
      <xdr:col>13</xdr:col>
      <xdr:colOff>66675</xdr:colOff>
      <xdr:row>2</xdr:row>
      <xdr:rowOff>47625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81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28575</xdr:rowOff>
    </xdr:from>
    <xdr:to>
      <xdr:col>18</xdr:col>
      <xdr:colOff>219075</xdr:colOff>
      <xdr:row>3</xdr:row>
      <xdr:rowOff>152400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57150</xdr:rowOff>
    </xdr:from>
    <xdr:to>
      <xdr:col>12</xdr:col>
      <xdr:colOff>314325</xdr:colOff>
      <xdr:row>2</xdr:row>
      <xdr:rowOff>57150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7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19</xdr:col>
      <xdr:colOff>323850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0</xdr:rowOff>
    </xdr:from>
    <xdr:to>
      <xdr:col>13</xdr:col>
      <xdr:colOff>85725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19</xdr:col>
      <xdr:colOff>314325</xdr:colOff>
      <xdr:row>3</xdr:row>
      <xdr:rowOff>123825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43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47625</xdr:rowOff>
    </xdr:from>
    <xdr:to>
      <xdr:col>14</xdr:col>
      <xdr:colOff>123825</xdr:colOff>
      <xdr:row>2</xdr:row>
      <xdr:rowOff>66675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0</xdr:rowOff>
    </xdr:from>
    <xdr:to>
      <xdr:col>18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14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14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14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14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428625</xdr:colOff>
      <xdr:row>2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57150</xdr:rowOff>
    </xdr:from>
    <xdr:to>
      <xdr:col>11</xdr:col>
      <xdr:colOff>276225</xdr:colOff>
      <xdr:row>2</xdr:row>
      <xdr:rowOff>19050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71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11</xdr:row>
      <xdr:rowOff>0</xdr:rowOff>
    </xdr:from>
    <xdr:ext cx="790575" cy="333375"/>
    <xdr:sp>
      <xdr:nvSpPr>
        <xdr:cNvPr id="3" name="AutoShape 2"/>
        <xdr:cNvSpPr>
          <a:spLocks noChangeAspect="1"/>
        </xdr:cNvSpPr>
      </xdr:nvSpPr>
      <xdr:spPr>
        <a:xfrm>
          <a:off x="8058150" y="19907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90575" cy="323850"/>
    <xdr:sp>
      <xdr:nvSpPr>
        <xdr:cNvPr id="4" name="AutoShape 2"/>
        <xdr:cNvSpPr>
          <a:spLocks noChangeAspect="1"/>
        </xdr:cNvSpPr>
      </xdr:nvSpPr>
      <xdr:spPr>
        <a:xfrm>
          <a:off x="8058150" y="19907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90575" cy="333375"/>
    <xdr:sp>
      <xdr:nvSpPr>
        <xdr:cNvPr id="5" name="AutoShape 2"/>
        <xdr:cNvSpPr>
          <a:spLocks noChangeAspect="1"/>
        </xdr:cNvSpPr>
      </xdr:nvSpPr>
      <xdr:spPr>
        <a:xfrm>
          <a:off x="8058150" y="19907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90575" cy="323850"/>
    <xdr:sp>
      <xdr:nvSpPr>
        <xdr:cNvPr id="6" name="AutoShape 2"/>
        <xdr:cNvSpPr>
          <a:spLocks noChangeAspect="1"/>
        </xdr:cNvSpPr>
      </xdr:nvSpPr>
      <xdr:spPr>
        <a:xfrm>
          <a:off x="8058150" y="19907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3.00390625" style="28" hidden="1" customWidth="1"/>
    <col min="3" max="3" width="4.7109375" style="28" customWidth="1"/>
    <col min="4" max="4" width="9.421875" style="23" customWidth="1"/>
    <col min="5" max="5" width="18.28125" style="24" customWidth="1"/>
    <col min="6" max="6" width="9.28125" style="25" customWidth="1"/>
    <col min="7" max="7" width="8.00390625" style="24" customWidth="1"/>
    <col min="8" max="8" width="8.57421875" style="24" customWidth="1"/>
    <col min="9" max="9" width="10.710937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hidden="1" customWidth="1"/>
    <col min="16" max="16" width="4.00390625" style="26" hidden="1" customWidth="1"/>
    <col min="17" max="17" width="4.7109375" style="26" hidden="1" customWidth="1"/>
    <col min="18" max="18" width="4.421875" style="6" customWidth="1"/>
    <col min="19" max="19" width="24.57421875" style="24" customWidth="1"/>
    <col min="20" max="21" width="6.00390625" style="10" hidden="1" customWidth="1"/>
    <col min="22" max="23" width="2.00390625" style="24" hidden="1" customWidth="1"/>
    <col min="24" max="16384" width="9.140625" style="24" customWidth="1"/>
  </cols>
  <sheetData>
    <row r="1" spans="1:21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10"/>
      <c r="U1" s="10"/>
    </row>
    <row r="2" spans="1:21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21"/>
      <c r="U2" s="21"/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969</v>
      </c>
      <c r="F4" s="30"/>
      <c r="S4" s="31"/>
    </row>
    <row r="5" ht="3.75" customHeight="1"/>
    <row r="6" spans="3:8" ht="13.5" thickBot="1">
      <c r="C6" s="33"/>
      <c r="D6" s="34"/>
      <c r="E6" s="35">
        <v>1</v>
      </c>
      <c r="F6" s="36" t="s">
        <v>332</v>
      </c>
      <c r="G6" s="37">
        <v>4</v>
      </c>
      <c r="H6" s="38"/>
    </row>
    <row r="7" spans="1:21" s="49" customFormat="1" ht="13.5" thickBot="1">
      <c r="A7" s="39" t="s">
        <v>109</v>
      </c>
      <c r="B7" s="43" t="s">
        <v>17</v>
      </c>
      <c r="C7" s="45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632</v>
      </c>
      <c r="M7" s="44" t="s">
        <v>293</v>
      </c>
      <c r="N7" s="44" t="s">
        <v>294</v>
      </c>
      <c r="O7" s="44" t="s">
        <v>111</v>
      </c>
      <c r="P7" s="44" t="s">
        <v>293</v>
      </c>
      <c r="Q7" s="44" t="s">
        <v>294</v>
      </c>
      <c r="R7" s="46" t="s">
        <v>14</v>
      </c>
      <c r="S7" s="47" t="s">
        <v>15</v>
      </c>
      <c r="T7" s="256" t="s">
        <v>18</v>
      </c>
      <c r="U7" s="256" t="s">
        <v>16</v>
      </c>
    </row>
    <row r="8" spans="1:23" ht="14.25">
      <c r="A8" s="50">
        <v>1</v>
      </c>
      <c r="B8" s="51"/>
      <c r="C8" s="51" t="s">
        <v>970</v>
      </c>
      <c r="D8" s="52" t="s">
        <v>252</v>
      </c>
      <c r="E8" s="53" t="s">
        <v>971</v>
      </c>
      <c r="F8" s="54" t="s">
        <v>972</v>
      </c>
      <c r="G8" s="55" t="s">
        <v>973</v>
      </c>
      <c r="H8" s="55" t="s">
        <v>243</v>
      </c>
      <c r="I8" s="55" t="s">
        <v>702</v>
      </c>
      <c r="J8" s="55" t="s">
        <v>287</v>
      </c>
      <c r="K8" s="186">
        <f aca="true" t="shared" si="0" ref="K8:K15">IF(ISBLANK(L8),"",TRUNC(9.92*(L8-22)^2))</f>
        <v>999</v>
      </c>
      <c r="L8" s="257">
        <v>11.96</v>
      </c>
      <c r="M8" s="170">
        <v>2</v>
      </c>
      <c r="N8" s="171">
        <v>0.253</v>
      </c>
      <c r="O8" s="172"/>
      <c r="P8" s="170"/>
      <c r="Q8" s="171"/>
      <c r="R8" s="189" t="str">
        <f aca="true" t="shared" si="1" ref="R8:R15">IF(ISBLANK(L8),"",IF(L8&gt;14.94,"",IF(L8&lt;=11.4,"TSM",IF(L8&lt;=11.84,"SM",IF(L8&lt;=12.4,"KSM",IF(L8&lt;=13.04,"I A",IF(L8&lt;=13.84,"II A",IF(L8&lt;=14.94,"III A"))))))))</f>
        <v>KSM</v>
      </c>
      <c r="S8" s="55" t="s">
        <v>974</v>
      </c>
      <c r="T8" s="6" t="s">
        <v>975</v>
      </c>
      <c r="U8" s="6"/>
      <c r="V8" s="24">
        <v>3</v>
      </c>
      <c r="W8" s="24">
        <v>5</v>
      </c>
    </row>
    <row r="9" spans="1:23" ht="14.25">
      <c r="A9" s="50">
        <v>2</v>
      </c>
      <c r="B9" s="51"/>
      <c r="C9" s="51" t="s">
        <v>976</v>
      </c>
      <c r="D9" s="52" t="s">
        <v>977</v>
      </c>
      <c r="E9" s="53" t="s">
        <v>978</v>
      </c>
      <c r="F9" s="54" t="s">
        <v>979</v>
      </c>
      <c r="G9" s="55" t="s">
        <v>71</v>
      </c>
      <c r="H9" s="55" t="s">
        <v>72</v>
      </c>
      <c r="I9" s="55" t="s">
        <v>65</v>
      </c>
      <c r="J9" s="55" t="s">
        <v>107</v>
      </c>
      <c r="K9" s="186">
        <f t="shared" si="0"/>
        <v>931</v>
      </c>
      <c r="L9" s="257">
        <v>12.31</v>
      </c>
      <c r="M9" s="170">
        <v>2</v>
      </c>
      <c r="N9" s="171" t="s">
        <v>300</v>
      </c>
      <c r="O9" s="172"/>
      <c r="P9" s="170"/>
      <c r="Q9" s="171"/>
      <c r="R9" s="189" t="str">
        <f t="shared" si="1"/>
        <v>KSM</v>
      </c>
      <c r="S9" s="193" t="s">
        <v>980</v>
      </c>
      <c r="T9" s="6" t="s">
        <v>466</v>
      </c>
      <c r="U9" s="6" t="s">
        <v>981</v>
      </c>
      <c r="V9" s="24">
        <v>3</v>
      </c>
      <c r="W9" s="24">
        <v>4</v>
      </c>
    </row>
    <row r="10" spans="1:23" ht="14.25">
      <c r="A10" s="50">
        <v>3</v>
      </c>
      <c r="B10" s="51"/>
      <c r="C10" s="51" t="s">
        <v>982</v>
      </c>
      <c r="D10" s="52" t="s">
        <v>240</v>
      </c>
      <c r="E10" s="53" t="s">
        <v>983</v>
      </c>
      <c r="F10" s="54" t="s">
        <v>984</v>
      </c>
      <c r="G10" s="55" t="s">
        <v>83</v>
      </c>
      <c r="H10" s="55"/>
      <c r="I10" s="55" t="s">
        <v>702</v>
      </c>
      <c r="J10" s="55" t="s">
        <v>287</v>
      </c>
      <c r="K10" s="186">
        <f t="shared" si="0"/>
        <v>908</v>
      </c>
      <c r="L10" s="257">
        <v>12.43</v>
      </c>
      <c r="M10" s="170">
        <v>2</v>
      </c>
      <c r="N10" s="171">
        <v>0.14</v>
      </c>
      <c r="O10" s="172"/>
      <c r="P10" s="170"/>
      <c r="Q10" s="171"/>
      <c r="R10" s="189" t="str">
        <f t="shared" si="1"/>
        <v>I A</v>
      </c>
      <c r="S10" s="55" t="s">
        <v>742</v>
      </c>
      <c r="T10" s="6" t="s">
        <v>985</v>
      </c>
      <c r="U10" s="6"/>
      <c r="V10" s="24">
        <v>3</v>
      </c>
      <c r="W10" s="24">
        <v>3</v>
      </c>
    </row>
    <row r="11" spans="1:23" ht="14.25">
      <c r="A11" s="50">
        <v>4</v>
      </c>
      <c r="B11" s="51"/>
      <c r="C11" s="51">
        <v>174</v>
      </c>
      <c r="D11" s="52" t="s">
        <v>886</v>
      </c>
      <c r="E11" s="53" t="s">
        <v>887</v>
      </c>
      <c r="F11" s="54" t="s">
        <v>485</v>
      </c>
      <c r="G11" s="55" t="s">
        <v>83</v>
      </c>
      <c r="H11" s="55" t="s">
        <v>218</v>
      </c>
      <c r="I11" s="55" t="s">
        <v>84</v>
      </c>
      <c r="J11" s="55"/>
      <c r="K11" s="186">
        <f t="shared" si="0"/>
        <v>775</v>
      </c>
      <c r="L11" s="257">
        <v>13.16</v>
      </c>
      <c r="M11" s="170">
        <v>2</v>
      </c>
      <c r="N11" s="171">
        <v>0.294</v>
      </c>
      <c r="O11" s="172"/>
      <c r="P11" s="170"/>
      <c r="Q11" s="171"/>
      <c r="R11" s="189" t="str">
        <f t="shared" si="1"/>
        <v>II A</v>
      </c>
      <c r="S11" s="55" t="s">
        <v>219</v>
      </c>
      <c r="T11" s="6" t="s">
        <v>986</v>
      </c>
      <c r="U11" s="6"/>
      <c r="V11" s="24">
        <v>3</v>
      </c>
      <c r="W11" s="24">
        <v>6</v>
      </c>
    </row>
    <row r="12" spans="1:23" ht="14.25">
      <c r="A12" s="50">
        <v>5</v>
      </c>
      <c r="B12" s="51"/>
      <c r="C12" s="51" t="s">
        <v>987</v>
      </c>
      <c r="D12" s="52" t="s">
        <v>988</v>
      </c>
      <c r="E12" s="53" t="s">
        <v>989</v>
      </c>
      <c r="F12" s="54" t="s">
        <v>990</v>
      </c>
      <c r="G12" s="55" t="s">
        <v>71</v>
      </c>
      <c r="H12" s="55" t="s">
        <v>72</v>
      </c>
      <c r="I12" s="55"/>
      <c r="J12" s="55"/>
      <c r="K12" s="186">
        <f t="shared" si="0"/>
        <v>769</v>
      </c>
      <c r="L12" s="257">
        <v>13.19</v>
      </c>
      <c r="M12" s="170">
        <v>2</v>
      </c>
      <c r="N12" s="171" t="s">
        <v>300</v>
      </c>
      <c r="O12" s="172"/>
      <c r="P12" s="170"/>
      <c r="Q12" s="171"/>
      <c r="R12" s="189" t="str">
        <f t="shared" si="1"/>
        <v>II A</v>
      </c>
      <c r="S12" s="55" t="s">
        <v>991</v>
      </c>
      <c r="T12" s="6" t="s">
        <v>992</v>
      </c>
      <c r="U12" s="6"/>
      <c r="V12" s="24">
        <v>3</v>
      </c>
      <c r="W12" s="24">
        <v>7</v>
      </c>
    </row>
    <row r="13" spans="1:23" ht="14.25">
      <c r="A13" s="50">
        <v>6</v>
      </c>
      <c r="B13" s="51"/>
      <c r="C13" s="51" t="s">
        <v>993</v>
      </c>
      <c r="D13" s="52" t="s">
        <v>249</v>
      </c>
      <c r="E13" s="53" t="s">
        <v>994</v>
      </c>
      <c r="F13" s="54" t="s">
        <v>995</v>
      </c>
      <c r="G13" s="55" t="s">
        <v>71</v>
      </c>
      <c r="H13" s="55" t="s">
        <v>72</v>
      </c>
      <c r="I13" s="55"/>
      <c r="J13" s="55"/>
      <c r="K13" s="186">
        <f t="shared" si="0"/>
        <v>754</v>
      </c>
      <c r="L13" s="257">
        <v>13.28</v>
      </c>
      <c r="M13" s="170">
        <v>2</v>
      </c>
      <c r="N13" s="171">
        <v>0.218</v>
      </c>
      <c r="O13" s="172"/>
      <c r="P13" s="170"/>
      <c r="Q13" s="171"/>
      <c r="R13" s="189" t="str">
        <f t="shared" si="1"/>
        <v>II A</v>
      </c>
      <c r="S13" s="55" t="s">
        <v>156</v>
      </c>
      <c r="T13" s="6" t="s">
        <v>466</v>
      </c>
      <c r="U13" s="6"/>
      <c r="V13" s="24">
        <v>3</v>
      </c>
      <c r="W13" s="24">
        <v>2</v>
      </c>
    </row>
    <row r="14" spans="1:23" ht="14.25">
      <c r="A14" s="50">
        <v>7</v>
      </c>
      <c r="B14" s="51"/>
      <c r="C14" s="51" t="s">
        <v>996</v>
      </c>
      <c r="D14" s="52" t="s">
        <v>997</v>
      </c>
      <c r="E14" s="53" t="s">
        <v>998</v>
      </c>
      <c r="F14" s="54" t="s">
        <v>999</v>
      </c>
      <c r="G14" s="55" t="s">
        <v>1000</v>
      </c>
      <c r="H14" s="55" t="s">
        <v>72</v>
      </c>
      <c r="I14" s="55" t="s">
        <v>770</v>
      </c>
      <c r="J14" s="55"/>
      <c r="K14" s="186">
        <f t="shared" si="0"/>
        <v>691</v>
      </c>
      <c r="L14" s="257">
        <v>13.65</v>
      </c>
      <c r="M14" s="170">
        <v>2</v>
      </c>
      <c r="N14" s="171" t="s">
        <v>300</v>
      </c>
      <c r="O14" s="172"/>
      <c r="P14" s="170"/>
      <c r="Q14" s="171"/>
      <c r="R14" s="189" t="str">
        <f t="shared" si="1"/>
        <v>II A</v>
      </c>
      <c r="S14" s="55" t="s">
        <v>205</v>
      </c>
      <c r="T14" s="6" t="s">
        <v>1001</v>
      </c>
      <c r="U14" s="6"/>
      <c r="V14" s="24">
        <v>3</v>
      </c>
      <c r="W14" s="24">
        <v>8</v>
      </c>
    </row>
    <row r="15" spans="1:23" ht="14.25">
      <c r="A15" s="50">
        <v>8</v>
      </c>
      <c r="B15" s="51"/>
      <c r="C15" s="51">
        <v>260</v>
      </c>
      <c r="D15" s="52" t="s">
        <v>1002</v>
      </c>
      <c r="E15" s="53" t="s">
        <v>1003</v>
      </c>
      <c r="F15" s="54" t="s">
        <v>1004</v>
      </c>
      <c r="G15" s="55" t="s">
        <v>142</v>
      </c>
      <c r="H15" s="55" t="s">
        <v>141</v>
      </c>
      <c r="I15" s="55"/>
      <c r="J15" s="55"/>
      <c r="K15" s="186">
        <f t="shared" si="0"/>
        <v>538</v>
      </c>
      <c r="L15" s="257">
        <v>14.63</v>
      </c>
      <c r="M15" s="170">
        <v>2</v>
      </c>
      <c r="N15" s="171">
        <v>0.166</v>
      </c>
      <c r="O15" s="172"/>
      <c r="P15" s="170"/>
      <c r="Q15" s="171"/>
      <c r="R15" s="189" t="str">
        <f t="shared" si="1"/>
        <v>III A</v>
      </c>
      <c r="S15" s="55" t="s">
        <v>140</v>
      </c>
      <c r="T15" s="6" t="s">
        <v>466</v>
      </c>
      <c r="U15" s="6"/>
      <c r="V15" s="24">
        <v>3</v>
      </c>
      <c r="W15" s="24">
        <v>1</v>
      </c>
    </row>
    <row r="16" ht="3.75" customHeight="1"/>
    <row r="17" spans="3:8" ht="13.5" thickBot="1">
      <c r="C17" s="33"/>
      <c r="D17" s="34"/>
      <c r="E17" s="35">
        <v>2</v>
      </c>
      <c r="F17" s="36" t="s">
        <v>332</v>
      </c>
      <c r="G17" s="37">
        <v>4</v>
      </c>
      <c r="H17" s="38"/>
    </row>
    <row r="18" spans="1:21" s="49" customFormat="1" ht="13.5" thickBot="1">
      <c r="A18" s="39" t="s">
        <v>109</v>
      </c>
      <c r="B18" s="43" t="s">
        <v>17</v>
      </c>
      <c r="C18" s="45" t="s">
        <v>4</v>
      </c>
      <c r="D18" s="41" t="s">
        <v>5</v>
      </c>
      <c r="E18" s="42" t="s">
        <v>6</v>
      </c>
      <c r="F18" s="43" t="s">
        <v>7</v>
      </c>
      <c r="G18" s="44" t="s">
        <v>8</v>
      </c>
      <c r="H18" s="44" t="s">
        <v>9</v>
      </c>
      <c r="I18" s="44" t="s">
        <v>10</v>
      </c>
      <c r="J18" s="44" t="s">
        <v>11</v>
      </c>
      <c r="K18" s="43" t="s">
        <v>12</v>
      </c>
      <c r="L18" s="45" t="s">
        <v>632</v>
      </c>
      <c r="M18" s="44" t="s">
        <v>293</v>
      </c>
      <c r="N18" s="44" t="s">
        <v>294</v>
      </c>
      <c r="O18" s="44" t="s">
        <v>111</v>
      </c>
      <c r="P18" s="44" t="s">
        <v>293</v>
      </c>
      <c r="Q18" s="44" t="s">
        <v>294</v>
      </c>
      <c r="R18" s="46" t="s">
        <v>14</v>
      </c>
      <c r="S18" s="47" t="s">
        <v>15</v>
      </c>
      <c r="T18" s="256" t="s">
        <v>18</v>
      </c>
      <c r="U18" s="256" t="s">
        <v>16</v>
      </c>
    </row>
    <row r="19" spans="1:23" ht="14.25">
      <c r="A19" s="50">
        <v>1</v>
      </c>
      <c r="B19" s="51"/>
      <c r="C19" s="51" t="s">
        <v>1005</v>
      </c>
      <c r="D19" s="52" t="s">
        <v>891</v>
      </c>
      <c r="E19" s="53" t="s">
        <v>1006</v>
      </c>
      <c r="F19" s="54" t="s">
        <v>1007</v>
      </c>
      <c r="G19" s="55" t="s">
        <v>83</v>
      </c>
      <c r="H19" s="55" t="s">
        <v>1008</v>
      </c>
      <c r="I19" s="55" t="s">
        <v>164</v>
      </c>
      <c r="J19" s="55"/>
      <c r="K19" s="186">
        <f aca="true" t="shared" si="2" ref="K19:K24">IF(ISBLANK(L19),"",TRUNC(9.92*(L19-22)^2))</f>
        <v>923</v>
      </c>
      <c r="L19" s="257">
        <v>12.35</v>
      </c>
      <c r="M19" s="170">
        <v>-1</v>
      </c>
      <c r="N19" s="170" t="s">
        <v>300</v>
      </c>
      <c r="O19" s="172"/>
      <c r="P19" s="170"/>
      <c r="Q19" s="171"/>
      <c r="R19" s="189" t="str">
        <f aca="true" t="shared" si="3" ref="R19:R25">IF(ISBLANK(L19),"",IF(L19&gt;14.94,"",IF(L19&lt;=11.4,"TSM",IF(L19&lt;=11.84,"SM",IF(L19&lt;=12.4,"KSM",IF(L19&lt;=13.04,"I A",IF(L19&lt;=13.84,"II A",IF(L19&lt;=14.94,"III A"))))))))</f>
        <v>KSM</v>
      </c>
      <c r="S19" s="55" t="s">
        <v>316</v>
      </c>
      <c r="T19" s="6" t="s">
        <v>1009</v>
      </c>
      <c r="U19" s="6"/>
      <c r="V19" s="24">
        <v>2</v>
      </c>
      <c r="W19" s="24">
        <v>5</v>
      </c>
    </row>
    <row r="20" spans="1:23" ht="14.25">
      <c r="A20" s="50">
        <v>2</v>
      </c>
      <c r="B20" s="51"/>
      <c r="C20" s="51">
        <v>93</v>
      </c>
      <c r="D20" s="52" t="s">
        <v>307</v>
      </c>
      <c r="E20" s="53" t="s">
        <v>1010</v>
      </c>
      <c r="F20" s="54" t="s">
        <v>1011</v>
      </c>
      <c r="G20" s="55" t="s">
        <v>71</v>
      </c>
      <c r="H20" s="55"/>
      <c r="I20" s="55" t="s">
        <v>189</v>
      </c>
      <c r="J20" s="55"/>
      <c r="K20" s="186">
        <f t="shared" si="2"/>
        <v>919</v>
      </c>
      <c r="L20" s="257">
        <v>12.37</v>
      </c>
      <c r="M20" s="170">
        <v>-1</v>
      </c>
      <c r="N20" s="170">
        <v>0.127</v>
      </c>
      <c r="O20" s="172"/>
      <c r="P20" s="170"/>
      <c r="Q20" s="171"/>
      <c r="R20" s="189" t="str">
        <f t="shared" si="3"/>
        <v>KSM</v>
      </c>
      <c r="S20" s="55" t="s">
        <v>490</v>
      </c>
      <c r="T20" s="6" t="s">
        <v>466</v>
      </c>
      <c r="U20" s="6"/>
      <c r="V20" s="24">
        <v>2</v>
      </c>
      <c r="W20" s="24">
        <v>2</v>
      </c>
    </row>
    <row r="21" spans="1:23" ht="14.25">
      <c r="A21" s="50">
        <v>3</v>
      </c>
      <c r="B21" s="51"/>
      <c r="C21" s="51" t="s">
        <v>1012</v>
      </c>
      <c r="D21" s="52" t="s">
        <v>1013</v>
      </c>
      <c r="E21" s="53" t="s">
        <v>1014</v>
      </c>
      <c r="F21" s="54" t="s">
        <v>1015</v>
      </c>
      <c r="G21" s="55" t="s">
        <v>546</v>
      </c>
      <c r="H21" s="55" t="s">
        <v>141</v>
      </c>
      <c r="I21" s="55" t="s">
        <v>547</v>
      </c>
      <c r="J21" s="55"/>
      <c r="K21" s="186">
        <f t="shared" si="2"/>
        <v>880</v>
      </c>
      <c r="L21" s="257">
        <v>12.58</v>
      </c>
      <c r="M21" s="170">
        <v>-1</v>
      </c>
      <c r="N21" s="170">
        <v>0.175</v>
      </c>
      <c r="O21" s="172"/>
      <c r="P21" s="170"/>
      <c r="Q21" s="171"/>
      <c r="R21" s="189" t="str">
        <f t="shared" si="3"/>
        <v>I A</v>
      </c>
      <c r="S21" s="55" t="s">
        <v>1016</v>
      </c>
      <c r="T21" s="6" t="s">
        <v>466</v>
      </c>
      <c r="U21" s="6" t="s">
        <v>1017</v>
      </c>
      <c r="V21" s="24">
        <v>2</v>
      </c>
      <c r="W21" s="24">
        <v>4</v>
      </c>
    </row>
    <row r="22" spans="1:23" ht="14.25">
      <c r="A22" s="50">
        <v>4</v>
      </c>
      <c r="B22" s="51"/>
      <c r="C22" s="51" t="s">
        <v>1018</v>
      </c>
      <c r="D22" s="52" t="s">
        <v>917</v>
      </c>
      <c r="E22" s="53" t="s">
        <v>918</v>
      </c>
      <c r="F22" s="54" t="s">
        <v>919</v>
      </c>
      <c r="G22" s="55" t="s">
        <v>71</v>
      </c>
      <c r="H22" s="55" t="s">
        <v>72</v>
      </c>
      <c r="I22" s="55"/>
      <c r="J22" s="55" t="s">
        <v>107</v>
      </c>
      <c r="K22" s="186">
        <f t="shared" si="2"/>
        <v>821</v>
      </c>
      <c r="L22" s="257">
        <v>12.9</v>
      </c>
      <c r="M22" s="170">
        <v>-1</v>
      </c>
      <c r="N22" s="170" t="s">
        <v>300</v>
      </c>
      <c r="O22" s="172"/>
      <c r="P22" s="170"/>
      <c r="Q22" s="171"/>
      <c r="R22" s="189" t="str">
        <f t="shared" si="3"/>
        <v>I A</v>
      </c>
      <c r="S22" s="55" t="s">
        <v>604</v>
      </c>
      <c r="T22" s="6" t="s">
        <v>1019</v>
      </c>
      <c r="U22" s="6"/>
      <c r="V22" s="24">
        <v>2</v>
      </c>
      <c r="W22" s="24">
        <v>6</v>
      </c>
    </row>
    <row r="23" spans="1:23" ht="14.25">
      <c r="A23" s="50">
        <v>5</v>
      </c>
      <c r="B23" s="51"/>
      <c r="C23" s="51">
        <v>157</v>
      </c>
      <c r="D23" s="52" t="s">
        <v>387</v>
      </c>
      <c r="E23" s="53" t="s">
        <v>1020</v>
      </c>
      <c r="F23" s="54" t="s">
        <v>1021</v>
      </c>
      <c r="G23" s="55" t="s">
        <v>83</v>
      </c>
      <c r="H23" s="55" t="s">
        <v>243</v>
      </c>
      <c r="I23" s="55"/>
      <c r="J23" s="55"/>
      <c r="K23" s="186">
        <f t="shared" si="2"/>
        <v>720</v>
      </c>
      <c r="L23" s="257">
        <v>13.48</v>
      </c>
      <c r="M23" s="170">
        <v>-1</v>
      </c>
      <c r="N23" s="170" t="s">
        <v>300</v>
      </c>
      <c r="O23" s="172"/>
      <c r="P23" s="170"/>
      <c r="Q23" s="171"/>
      <c r="R23" s="189" t="str">
        <f t="shared" si="3"/>
        <v>II A</v>
      </c>
      <c r="S23" s="55" t="s">
        <v>1022</v>
      </c>
      <c r="T23" s="6" t="s">
        <v>1023</v>
      </c>
      <c r="U23" s="6"/>
      <c r="V23" s="24">
        <v>2</v>
      </c>
      <c r="W23" s="24">
        <v>7</v>
      </c>
    </row>
    <row r="24" spans="1:23" ht="14.25">
      <c r="A24" s="50">
        <v>6</v>
      </c>
      <c r="B24" s="51"/>
      <c r="C24" s="51" t="s">
        <v>1024</v>
      </c>
      <c r="D24" s="52" t="s">
        <v>419</v>
      </c>
      <c r="E24" s="53" t="s">
        <v>1025</v>
      </c>
      <c r="F24" s="54" t="s">
        <v>1026</v>
      </c>
      <c r="G24" s="55" t="s">
        <v>132</v>
      </c>
      <c r="H24" s="55" t="s">
        <v>701</v>
      </c>
      <c r="I24" s="55" t="s">
        <v>702</v>
      </c>
      <c r="J24" s="55" t="s">
        <v>171</v>
      </c>
      <c r="K24" s="186">
        <f t="shared" si="2"/>
        <v>685</v>
      </c>
      <c r="L24" s="257">
        <v>13.69</v>
      </c>
      <c r="M24" s="170">
        <v>-1</v>
      </c>
      <c r="N24" s="170">
        <v>0.274</v>
      </c>
      <c r="O24" s="172"/>
      <c r="P24" s="170"/>
      <c r="Q24" s="171"/>
      <c r="R24" s="189" t="str">
        <f t="shared" si="3"/>
        <v>II A</v>
      </c>
      <c r="S24" s="55" t="s">
        <v>1027</v>
      </c>
      <c r="T24" s="6" t="s">
        <v>466</v>
      </c>
      <c r="V24" s="24">
        <v>2</v>
      </c>
      <c r="W24" s="24">
        <v>8</v>
      </c>
    </row>
    <row r="25" spans="1:23" ht="14.25">
      <c r="A25" s="50"/>
      <c r="B25" s="51"/>
      <c r="C25" s="51" t="s">
        <v>1028</v>
      </c>
      <c r="D25" s="52" t="s">
        <v>1029</v>
      </c>
      <c r="E25" s="53" t="s">
        <v>1030</v>
      </c>
      <c r="F25" s="54" t="s">
        <v>1031</v>
      </c>
      <c r="G25" s="55" t="s">
        <v>22</v>
      </c>
      <c r="H25" s="55"/>
      <c r="I25" s="55"/>
      <c r="J25" s="55" t="s">
        <v>23</v>
      </c>
      <c r="K25" s="186"/>
      <c r="L25" s="257" t="s">
        <v>110</v>
      </c>
      <c r="M25" s="170"/>
      <c r="N25" s="170" t="s">
        <v>300</v>
      </c>
      <c r="O25" s="172"/>
      <c r="P25" s="170"/>
      <c r="Q25" s="171"/>
      <c r="R25" s="189">
        <f t="shared" si="3"/>
      </c>
      <c r="S25" s="55" t="s">
        <v>1032</v>
      </c>
      <c r="T25" s="6">
        <v>12.8</v>
      </c>
      <c r="U25" s="6"/>
      <c r="V25" s="24">
        <v>2</v>
      </c>
      <c r="W25" s="24">
        <v>3</v>
      </c>
    </row>
    <row r="26" ht="3.75" customHeight="1"/>
    <row r="27" spans="3:8" ht="13.5" thickBot="1">
      <c r="C27" s="33"/>
      <c r="D27" s="34"/>
      <c r="E27" s="35">
        <v>3</v>
      </c>
      <c r="F27" s="36" t="s">
        <v>332</v>
      </c>
      <c r="G27" s="37">
        <v>4</v>
      </c>
      <c r="H27" s="38"/>
    </row>
    <row r="28" spans="1:21" s="49" customFormat="1" ht="13.5" thickBot="1">
      <c r="A28" s="39" t="s">
        <v>109</v>
      </c>
      <c r="B28" s="43" t="s">
        <v>17</v>
      </c>
      <c r="C28" s="45" t="s">
        <v>4</v>
      </c>
      <c r="D28" s="41" t="s">
        <v>5</v>
      </c>
      <c r="E28" s="42" t="s">
        <v>6</v>
      </c>
      <c r="F28" s="43" t="s">
        <v>7</v>
      </c>
      <c r="G28" s="44" t="s">
        <v>8</v>
      </c>
      <c r="H28" s="44" t="s">
        <v>9</v>
      </c>
      <c r="I28" s="44" t="s">
        <v>10</v>
      </c>
      <c r="J28" s="44" t="s">
        <v>11</v>
      </c>
      <c r="K28" s="43" t="s">
        <v>12</v>
      </c>
      <c r="L28" s="45" t="s">
        <v>632</v>
      </c>
      <c r="M28" s="44" t="s">
        <v>293</v>
      </c>
      <c r="N28" s="44" t="s">
        <v>294</v>
      </c>
      <c r="O28" s="44" t="s">
        <v>111</v>
      </c>
      <c r="P28" s="44" t="s">
        <v>293</v>
      </c>
      <c r="Q28" s="44" t="s">
        <v>294</v>
      </c>
      <c r="R28" s="46" t="s">
        <v>14</v>
      </c>
      <c r="S28" s="47" t="s">
        <v>15</v>
      </c>
      <c r="T28" s="256" t="s">
        <v>18</v>
      </c>
      <c r="U28" s="256" t="s">
        <v>16</v>
      </c>
    </row>
    <row r="29" spans="1:23" ht="14.25">
      <c r="A29" s="50">
        <v>1</v>
      </c>
      <c r="B29" s="51"/>
      <c r="C29" s="51" t="s">
        <v>1033</v>
      </c>
      <c r="D29" s="52" t="s">
        <v>139</v>
      </c>
      <c r="E29" s="53" t="s">
        <v>1034</v>
      </c>
      <c r="F29" s="54" t="s">
        <v>1035</v>
      </c>
      <c r="G29" s="55" t="s">
        <v>1036</v>
      </c>
      <c r="H29" s="55" t="s">
        <v>579</v>
      </c>
      <c r="I29" s="55" t="s">
        <v>580</v>
      </c>
      <c r="J29" s="55"/>
      <c r="K29" s="186">
        <f aca="true" t="shared" si="4" ref="K29:K36">IF(ISBLANK(L29),"",TRUNC(9.92*(L29-22)^2))</f>
        <v>895</v>
      </c>
      <c r="L29" s="257">
        <v>12.5</v>
      </c>
      <c r="M29" s="170">
        <v>-0.5</v>
      </c>
      <c r="N29" s="170" t="s">
        <v>300</v>
      </c>
      <c r="O29" s="172"/>
      <c r="P29" s="170"/>
      <c r="Q29" s="171"/>
      <c r="R29" s="189" t="str">
        <f aca="true" t="shared" si="5" ref="R29:R36">IF(ISBLANK(L29),"",IF(L29&gt;14.94,"",IF(L29&lt;=11.4,"TSM",IF(L29&lt;=11.84,"SM",IF(L29&lt;=12.4,"KSM",IF(L29&lt;=13.04,"I A",IF(L29&lt;=13.84,"II A",IF(L29&lt;=14.94,"III A"))))))))</f>
        <v>I A</v>
      </c>
      <c r="S29" s="55" t="s">
        <v>1037</v>
      </c>
      <c r="T29" s="6" t="s">
        <v>1038</v>
      </c>
      <c r="U29" s="6"/>
      <c r="V29" s="24">
        <v>4</v>
      </c>
      <c r="W29" s="24">
        <v>5</v>
      </c>
    </row>
    <row r="30" spans="1:23" ht="14.25">
      <c r="A30" s="50">
        <v>2</v>
      </c>
      <c r="B30" s="51"/>
      <c r="C30" s="51">
        <v>74</v>
      </c>
      <c r="D30" s="52" t="s">
        <v>1039</v>
      </c>
      <c r="E30" s="53" t="s">
        <v>1040</v>
      </c>
      <c r="F30" s="54" t="s">
        <v>921</v>
      </c>
      <c r="G30" s="55" t="s">
        <v>132</v>
      </c>
      <c r="H30" s="55" t="s">
        <v>131</v>
      </c>
      <c r="I30" s="55" t="s">
        <v>223</v>
      </c>
      <c r="J30" s="55"/>
      <c r="K30" s="186">
        <f t="shared" si="4"/>
        <v>887</v>
      </c>
      <c r="L30" s="257">
        <v>12.54</v>
      </c>
      <c r="M30" s="170">
        <v>-0.5</v>
      </c>
      <c r="N30" s="170" t="s">
        <v>300</v>
      </c>
      <c r="O30" s="172"/>
      <c r="P30" s="170"/>
      <c r="Q30" s="171"/>
      <c r="R30" s="189" t="str">
        <f t="shared" si="5"/>
        <v>I A</v>
      </c>
      <c r="S30" s="55" t="s">
        <v>1041</v>
      </c>
      <c r="T30" s="6" t="s">
        <v>1042</v>
      </c>
      <c r="U30" s="6"/>
      <c r="V30" s="24">
        <v>4</v>
      </c>
      <c r="W30" s="24">
        <v>4</v>
      </c>
    </row>
    <row r="31" spans="1:23" ht="14.25">
      <c r="A31" s="50">
        <v>3</v>
      </c>
      <c r="B31" s="51"/>
      <c r="C31" s="51" t="s">
        <v>1043</v>
      </c>
      <c r="D31" s="52" t="s">
        <v>1029</v>
      </c>
      <c r="E31" s="53" t="s">
        <v>1044</v>
      </c>
      <c r="F31" s="54" t="s">
        <v>1045</v>
      </c>
      <c r="G31" s="55" t="s">
        <v>1000</v>
      </c>
      <c r="H31" s="55" t="s">
        <v>72</v>
      </c>
      <c r="I31" s="55" t="s">
        <v>770</v>
      </c>
      <c r="J31" s="55"/>
      <c r="K31" s="186">
        <f t="shared" si="4"/>
        <v>880</v>
      </c>
      <c r="L31" s="257">
        <v>12.58</v>
      </c>
      <c r="M31" s="170">
        <v>-0.5</v>
      </c>
      <c r="N31" s="170" t="s">
        <v>300</v>
      </c>
      <c r="O31" s="172"/>
      <c r="P31" s="170"/>
      <c r="Q31" s="171"/>
      <c r="R31" s="189" t="str">
        <f t="shared" si="5"/>
        <v>I A</v>
      </c>
      <c r="S31" s="55" t="s">
        <v>991</v>
      </c>
      <c r="T31" s="6" t="s">
        <v>1046</v>
      </c>
      <c r="U31" s="6"/>
      <c r="V31" s="24">
        <v>4</v>
      </c>
      <c r="W31" s="24">
        <v>6</v>
      </c>
    </row>
    <row r="32" spans="1:23" ht="14.25">
      <c r="A32" s="50">
        <v>4</v>
      </c>
      <c r="B32" s="51"/>
      <c r="C32" s="51" t="s">
        <v>1047</v>
      </c>
      <c r="D32" s="52" t="s">
        <v>917</v>
      </c>
      <c r="E32" s="53" t="s">
        <v>1048</v>
      </c>
      <c r="F32" s="54" t="s">
        <v>1049</v>
      </c>
      <c r="G32" s="55" t="s">
        <v>71</v>
      </c>
      <c r="H32" s="55" t="s">
        <v>72</v>
      </c>
      <c r="I32" s="55" t="s">
        <v>356</v>
      </c>
      <c r="J32" s="55"/>
      <c r="K32" s="186">
        <f t="shared" si="4"/>
        <v>803</v>
      </c>
      <c r="L32" s="257">
        <v>13</v>
      </c>
      <c r="M32" s="170">
        <v>-0.5</v>
      </c>
      <c r="N32" s="170" t="s">
        <v>300</v>
      </c>
      <c r="O32" s="172"/>
      <c r="P32" s="170"/>
      <c r="Q32" s="171"/>
      <c r="R32" s="189" t="str">
        <f t="shared" si="5"/>
        <v>I A</v>
      </c>
      <c r="S32" s="55" t="s">
        <v>156</v>
      </c>
      <c r="T32" s="6" t="s">
        <v>1050</v>
      </c>
      <c r="U32" s="6"/>
      <c r="V32" s="24">
        <v>4</v>
      </c>
      <c r="W32" s="24">
        <v>3</v>
      </c>
    </row>
    <row r="33" spans="1:23" ht="14.25">
      <c r="A33" s="50">
        <v>5</v>
      </c>
      <c r="B33" s="51"/>
      <c r="C33" s="51" t="s">
        <v>1051</v>
      </c>
      <c r="D33" s="52" t="s">
        <v>1052</v>
      </c>
      <c r="E33" s="53" t="s">
        <v>1053</v>
      </c>
      <c r="F33" s="54" t="s">
        <v>1054</v>
      </c>
      <c r="G33" s="55" t="s">
        <v>35</v>
      </c>
      <c r="H33" s="55" t="s">
        <v>44</v>
      </c>
      <c r="I33" s="55"/>
      <c r="J33" s="55"/>
      <c r="K33" s="186">
        <f t="shared" si="4"/>
        <v>706</v>
      </c>
      <c r="L33" s="257">
        <v>13.56</v>
      </c>
      <c r="M33" s="170">
        <v>-0.5</v>
      </c>
      <c r="N33" s="170" t="s">
        <v>300</v>
      </c>
      <c r="O33" s="172"/>
      <c r="P33" s="170"/>
      <c r="Q33" s="171"/>
      <c r="R33" s="189" t="str">
        <f t="shared" si="5"/>
        <v>II A</v>
      </c>
      <c r="S33" s="55" t="s">
        <v>46</v>
      </c>
      <c r="T33" s="6" t="s">
        <v>1055</v>
      </c>
      <c r="U33" s="6"/>
      <c r="V33" s="24">
        <v>1</v>
      </c>
      <c r="W33" s="24">
        <v>7</v>
      </c>
    </row>
    <row r="34" spans="1:23" ht="14.25">
      <c r="A34" s="50">
        <v>6</v>
      </c>
      <c r="B34" s="51"/>
      <c r="C34" s="51">
        <v>196</v>
      </c>
      <c r="D34" s="52" t="s">
        <v>1056</v>
      </c>
      <c r="E34" s="53" t="s">
        <v>1057</v>
      </c>
      <c r="F34" s="54" t="s">
        <v>1058</v>
      </c>
      <c r="G34" s="55" t="s">
        <v>22</v>
      </c>
      <c r="H34" s="55"/>
      <c r="I34" s="55"/>
      <c r="J34" s="55" t="s">
        <v>107</v>
      </c>
      <c r="K34" s="186">
        <f t="shared" si="4"/>
        <v>647</v>
      </c>
      <c r="L34" s="257">
        <v>13.92</v>
      </c>
      <c r="M34" s="170">
        <v>-0.5</v>
      </c>
      <c r="N34" s="170" t="s">
        <v>300</v>
      </c>
      <c r="O34" s="172"/>
      <c r="P34" s="170"/>
      <c r="Q34" s="171"/>
      <c r="R34" s="189" t="str">
        <f t="shared" si="5"/>
        <v>III A</v>
      </c>
      <c r="S34" s="55" t="s">
        <v>1059</v>
      </c>
      <c r="T34" s="6" t="s">
        <v>466</v>
      </c>
      <c r="U34" s="6"/>
      <c r="V34" s="24">
        <v>4</v>
      </c>
      <c r="W34" s="24">
        <v>1</v>
      </c>
    </row>
    <row r="35" spans="1:23" ht="14.25">
      <c r="A35" s="50">
        <v>7</v>
      </c>
      <c r="B35" s="51"/>
      <c r="C35" s="51">
        <v>59</v>
      </c>
      <c r="D35" s="52" t="s">
        <v>1060</v>
      </c>
      <c r="E35" s="53" t="s">
        <v>1061</v>
      </c>
      <c r="F35" s="54" t="s">
        <v>1062</v>
      </c>
      <c r="G35" s="55" t="s">
        <v>50</v>
      </c>
      <c r="H35" s="55" t="s">
        <v>51</v>
      </c>
      <c r="I35" s="55" t="s">
        <v>511</v>
      </c>
      <c r="J35" s="55"/>
      <c r="K35" s="186">
        <f t="shared" si="4"/>
        <v>639</v>
      </c>
      <c r="L35" s="257">
        <v>13.97</v>
      </c>
      <c r="M35" s="170">
        <v>-0.5</v>
      </c>
      <c r="N35" s="170" t="s">
        <v>300</v>
      </c>
      <c r="O35" s="172"/>
      <c r="P35" s="170"/>
      <c r="Q35" s="171"/>
      <c r="R35" s="189" t="str">
        <f t="shared" si="5"/>
        <v>III A</v>
      </c>
      <c r="S35" s="55" t="s">
        <v>512</v>
      </c>
      <c r="T35" s="6" t="s">
        <v>1063</v>
      </c>
      <c r="U35" s="6"/>
      <c r="V35" s="24">
        <v>4</v>
      </c>
      <c r="W35" s="24">
        <v>8</v>
      </c>
    </row>
    <row r="36" spans="1:23" ht="14.25">
      <c r="A36" s="50">
        <v>8</v>
      </c>
      <c r="B36" s="51"/>
      <c r="C36" s="51">
        <v>195</v>
      </c>
      <c r="D36" s="52" t="s">
        <v>1064</v>
      </c>
      <c r="E36" s="53" t="s">
        <v>1065</v>
      </c>
      <c r="F36" s="54" t="s">
        <v>1066</v>
      </c>
      <c r="G36" s="55" t="s">
        <v>22</v>
      </c>
      <c r="H36" s="55"/>
      <c r="I36" s="55"/>
      <c r="J36" s="55" t="s">
        <v>107</v>
      </c>
      <c r="K36" s="186">
        <f t="shared" si="4"/>
        <v>434</v>
      </c>
      <c r="L36" s="257">
        <v>15.38</v>
      </c>
      <c r="M36" s="170">
        <v>-0.5</v>
      </c>
      <c r="N36" s="170" t="s">
        <v>300</v>
      </c>
      <c r="O36" s="172"/>
      <c r="P36" s="170"/>
      <c r="Q36" s="171"/>
      <c r="R36" s="189">
        <f t="shared" si="5"/>
      </c>
      <c r="S36" s="55" t="s">
        <v>1067</v>
      </c>
      <c r="T36" s="6" t="s">
        <v>466</v>
      </c>
      <c r="U36" s="6"/>
      <c r="V36" s="24">
        <v>4</v>
      </c>
      <c r="W36" s="24">
        <v>2</v>
      </c>
    </row>
    <row r="37" ht="3.75" customHeight="1"/>
    <row r="38" spans="3:8" ht="13.5" thickBot="1">
      <c r="C38" s="33"/>
      <c r="D38" s="34"/>
      <c r="E38" s="35">
        <v>4</v>
      </c>
      <c r="F38" s="36" t="s">
        <v>332</v>
      </c>
      <c r="G38" s="37">
        <v>4</v>
      </c>
      <c r="H38" s="38"/>
    </row>
    <row r="39" spans="1:21" s="49" customFormat="1" ht="13.5" thickBot="1">
      <c r="A39" s="39" t="s">
        <v>109</v>
      </c>
      <c r="B39" s="43" t="s">
        <v>17</v>
      </c>
      <c r="C39" s="45" t="s">
        <v>4</v>
      </c>
      <c r="D39" s="41" t="s">
        <v>5</v>
      </c>
      <c r="E39" s="42" t="s">
        <v>6</v>
      </c>
      <c r="F39" s="43" t="s">
        <v>7</v>
      </c>
      <c r="G39" s="44" t="s">
        <v>8</v>
      </c>
      <c r="H39" s="44" t="s">
        <v>9</v>
      </c>
      <c r="I39" s="44" t="s">
        <v>10</v>
      </c>
      <c r="J39" s="44" t="s">
        <v>11</v>
      </c>
      <c r="K39" s="43" t="s">
        <v>12</v>
      </c>
      <c r="L39" s="45" t="s">
        <v>632</v>
      </c>
      <c r="M39" s="44" t="s">
        <v>293</v>
      </c>
      <c r="N39" s="44" t="s">
        <v>294</v>
      </c>
      <c r="O39" s="44" t="s">
        <v>111</v>
      </c>
      <c r="P39" s="44" t="s">
        <v>293</v>
      </c>
      <c r="Q39" s="44" t="s">
        <v>294</v>
      </c>
      <c r="R39" s="46" t="s">
        <v>14</v>
      </c>
      <c r="S39" s="47" t="s">
        <v>15</v>
      </c>
      <c r="T39" s="256" t="s">
        <v>18</v>
      </c>
      <c r="U39" s="256" t="s">
        <v>16</v>
      </c>
    </row>
    <row r="40" spans="1:23" ht="14.25">
      <c r="A40" s="50">
        <v>1</v>
      </c>
      <c r="B40" s="51"/>
      <c r="C40" s="51" t="s">
        <v>1068</v>
      </c>
      <c r="D40" s="52" t="s">
        <v>1069</v>
      </c>
      <c r="E40" s="53" t="s">
        <v>1070</v>
      </c>
      <c r="F40" s="54" t="s">
        <v>1071</v>
      </c>
      <c r="G40" s="55" t="s">
        <v>1072</v>
      </c>
      <c r="H40" s="55" t="s">
        <v>237</v>
      </c>
      <c r="I40" s="55" t="s">
        <v>702</v>
      </c>
      <c r="J40" s="55" t="s">
        <v>287</v>
      </c>
      <c r="K40" s="186">
        <f aca="true" t="shared" si="6" ref="K40:K45">IF(ISBLANK(L40),"",TRUNC(9.92*(L40-22)^2))</f>
        <v>848</v>
      </c>
      <c r="L40" s="257">
        <v>12.75</v>
      </c>
      <c r="M40" s="170">
        <v>-0.6</v>
      </c>
      <c r="N40" s="170" t="s">
        <v>300</v>
      </c>
      <c r="O40" s="172"/>
      <c r="P40" s="170"/>
      <c r="Q40" s="171"/>
      <c r="R40" s="189" t="str">
        <f aca="true" t="shared" si="7" ref="R40:R45">IF(ISBLANK(L40),"",IF(L40&gt;14.94,"",IF(L40&lt;=11.4,"TSM",IF(L40&lt;=11.84,"SM",IF(L40&lt;=12.4,"KSM",IF(L40&lt;=13.04,"I A",IF(L40&lt;=13.84,"II A",IF(L40&lt;=14.94,"III A"))))))))</f>
        <v>I A</v>
      </c>
      <c r="S40" s="55" t="s">
        <v>974</v>
      </c>
      <c r="T40" s="6" t="s">
        <v>466</v>
      </c>
      <c r="U40" s="6" t="s">
        <v>1073</v>
      </c>
      <c r="V40" s="24">
        <v>1</v>
      </c>
      <c r="W40" s="24">
        <v>4</v>
      </c>
    </row>
    <row r="41" spans="1:23" ht="14.25">
      <c r="A41" s="50">
        <v>2</v>
      </c>
      <c r="B41" s="51"/>
      <c r="C41" s="51">
        <v>76</v>
      </c>
      <c r="D41" s="52" t="s">
        <v>419</v>
      </c>
      <c r="E41" s="53" t="s">
        <v>1074</v>
      </c>
      <c r="F41" s="54" t="s">
        <v>599</v>
      </c>
      <c r="G41" s="55" t="s">
        <v>132</v>
      </c>
      <c r="H41" s="55" t="s">
        <v>131</v>
      </c>
      <c r="I41" s="55" t="s">
        <v>172</v>
      </c>
      <c r="J41" s="55"/>
      <c r="K41" s="186">
        <f t="shared" si="6"/>
        <v>835</v>
      </c>
      <c r="L41" s="257">
        <v>12.82</v>
      </c>
      <c r="M41" s="170">
        <v>-0.6</v>
      </c>
      <c r="N41" s="171">
        <v>0.189</v>
      </c>
      <c r="O41" s="172"/>
      <c r="P41" s="170"/>
      <c r="Q41" s="171"/>
      <c r="R41" s="189" t="str">
        <f t="shared" si="7"/>
        <v>I A</v>
      </c>
      <c r="S41" s="55" t="s">
        <v>750</v>
      </c>
      <c r="T41" s="6" t="s">
        <v>1075</v>
      </c>
      <c r="U41" s="6"/>
      <c r="V41" s="24">
        <v>1</v>
      </c>
      <c r="W41" s="24">
        <v>3</v>
      </c>
    </row>
    <row r="42" spans="1:23" ht="14.25">
      <c r="A42" s="50">
        <v>3</v>
      </c>
      <c r="B42" s="51"/>
      <c r="C42" s="51" t="s">
        <v>1076</v>
      </c>
      <c r="D42" s="52" t="s">
        <v>1077</v>
      </c>
      <c r="E42" s="53" t="s">
        <v>1078</v>
      </c>
      <c r="F42" s="54" t="s">
        <v>1079</v>
      </c>
      <c r="G42" s="55" t="s">
        <v>83</v>
      </c>
      <c r="H42" s="55" t="s">
        <v>237</v>
      </c>
      <c r="I42" s="55" t="s">
        <v>702</v>
      </c>
      <c r="J42" s="55" t="s">
        <v>287</v>
      </c>
      <c r="K42" s="186">
        <f t="shared" si="6"/>
        <v>789</v>
      </c>
      <c r="L42" s="257">
        <v>13.08</v>
      </c>
      <c r="M42" s="170">
        <v>-0.6</v>
      </c>
      <c r="N42" s="171">
        <v>0.316</v>
      </c>
      <c r="O42" s="172"/>
      <c r="P42" s="170"/>
      <c r="Q42" s="171"/>
      <c r="R42" s="189" t="str">
        <f t="shared" si="7"/>
        <v>II A</v>
      </c>
      <c r="S42" s="55" t="s">
        <v>742</v>
      </c>
      <c r="T42" s="6" t="s">
        <v>466</v>
      </c>
      <c r="U42" s="6"/>
      <c r="V42" s="24">
        <v>1</v>
      </c>
      <c r="W42" s="24">
        <v>8</v>
      </c>
    </row>
    <row r="43" spans="1:23" ht="14.25">
      <c r="A43" s="50">
        <v>4</v>
      </c>
      <c r="B43" s="51"/>
      <c r="C43" s="51" t="s">
        <v>1080</v>
      </c>
      <c r="D43" s="52" t="s">
        <v>870</v>
      </c>
      <c r="E43" s="53" t="s">
        <v>1081</v>
      </c>
      <c r="F43" s="54" t="s">
        <v>1082</v>
      </c>
      <c r="G43" s="55" t="s">
        <v>83</v>
      </c>
      <c r="H43" s="55" t="s">
        <v>237</v>
      </c>
      <c r="I43" s="55"/>
      <c r="J43" s="55"/>
      <c r="K43" s="186">
        <f t="shared" si="6"/>
        <v>778</v>
      </c>
      <c r="L43" s="257">
        <v>13.14</v>
      </c>
      <c r="M43" s="170">
        <v>-0.6</v>
      </c>
      <c r="N43" s="171">
        <v>0.24</v>
      </c>
      <c r="O43" s="172"/>
      <c r="P43" s="170"/>
      <c r="Q43" s="171"/>
      <c r="R43" s="189" t="str">
        <f t="shared" si="7"/>
        <v>II A</v>
      </c>
      <c r="S43" s="55" t="s">
        <v>1083</v>
      </c>
      <c r="T43" s="6" t="s">
        <v>1084</v>
      </c>
      <c r="U43" s="6"/>
      <c r="V43" s="24">
        <v>1</v>
      </c>
      <c r="W43" s="24">
        <v>5</v>
      </c>
    </row>
    <row r="44" spans="1:23" ht="14.25">
      <c r="A44" s="50">
        <v>5</v>
      </c>
      <c r="B44" s="51"/>
      <c r="C44" s="51">
        <v>60</v>
      </c>
      <c r="D44" s="52" t="s">
        <v>1085</v>
      </c>
      <c r="E44" s="53" t="s">
        <v>1086</v>
      </c>
      <c r="F44" s="54" t="s">
        <v>1087</v>
      </c>
      <c r="G44" s="55" t="s">
        <v>50</v>
      </c>
      <c r="H44" s="55" t="s">
        <v>51</v>
      </c>
      <c r="I44" s="55" t="s">
        <v>511</v>
      </c>
      <c r="J44" s="55"/>
      <c r="K44" s="186">
        <f t="shared" si="6"/>
        <v>654</v>
      </c>
      <c r="L44" s="257">
        <v>13.88</v>
      </c>
      <c r="M44" s="170">
        <v>-0.6</v>
      </c>
      <c r="N44" s="170" t="s">
        <v>300</v>
      </c>
      <c r="O44" s="172"/>
      <c r="P44" s="170"/>
      <c r="Q44" s="171"/>
      <c r="R44" s="189" t="str">
        <f t="shared" si="7"/>
        <v>III A</v>
      </c>
      <c r="S44" s="55" t="s">
        <v>512</v>
      </c>
      <c r="T44" s="6" t="s">
        <v>1088</v>
      </c>
      <c r="U44" s="6"/>
      <c r="V44" s="24">
        <v>4</v>
      </c>
      <c r="W44" s="24">
        <v>7</v>
      </c>
    </row>
    <row r="45" spans="1:23" ht="14.25">
      <c r="A45" s="50">
        <v>6</v>
      </c>
      <c r="B45" s="51"/>
      <c r="C45" s="51" t="s">
        <v>1089</v>
      </c>
      <c r="D45" s="52" t="s">
        <v>302</v>
      </c>
      <c r="E45" s="53" t="s">
        <v>1090</v>
      </c>
      <c r="F45" s="54" t="s">
        <v>1091</v>
      </c>
      <c r="G45" s="55" t="s">
        <v>118</v>
      </c>
      <c r="H45" s="55" t="s">
        <v>9</v>
      </c>
      <c r="I45" s="55" t="s">
        <v>117</v>
      </c>
      <c r="J45" s="55"/>
      <c r="K45" s="186">
        <f t="shared" si="6"/>
        <v>500</v>
      </c>
      <c r="L45" s="257">
        <v>14.9</v>
      </c>
      <c r="M45" s="170">
        <v>-0.6</v>
      </c>
      <c r="N45" s="171">
        <v>0.189</v>
      </c>
      <c r="O45" s="172"/>
      <c r="P45" s="170"/>
      <c r="Q45" s="171"/>
      <c r="R45" s="189" t="str">
        <f t="shared" si="7"/>
        <v>III A</v>
      </c>
      <c r="S45" s="55" t="s">
        <v>116</v>
      </c>
      <c r="T45" s="6" t="s">
        <v>466</v>
      </c>
      <c r="U45" s="6"/>
      <c r="V45" s="24">
        <v>1</v>
      </c>
      <c r="W45" s="24">
        <v>2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R21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140625" style="28" customWidth="1"/>
    <col min="2" max="2" width="3.00390625" style="28" customWidth="1"/>
    <col min="3" max="3" width="3.8515625" style="28" hidden="1" customWidth="1"/>
    <col min="4" max="4" width="9.421875" style="23" customWidth="1"/>
    <col min="5" max="5" width="14.140625" style="24" customWidth="1"/>
    <col min="6" max="6" width="9.28125" style="25" customWidth="1"/>
    <col min="7" max="7" width="13.140625" style="24" bestFit="1" customWidth="1"/>
    <col min="8" max="8" width="8.7109375" style="24" bestFit="1" customWidth="1"/>
    <col min="9" max="9" width="11.57421875" style="24" customWidth="1"/>
    <col min="10" max="10" width="5.140625" style="24" bestFit="1" customWidth="1"/>
    <col min="11" max="11" width="5.421875" style="6" customWidth="1"/>
    <col min="12" max="12" width="6.8515625" style="26" customWidth="1"/>
    <col min="13" max="13" width="4.421875" style="6" customWidth="1"/>
    <col min="14" max="14" width="27.57421875" style="24" customWidth="1"/>
    <col min="15" max="15" width="5.8515625" style="8" hidden="1" customWidth="1"/>
    <col min="16" max="16" width="5.8515625" style="9" hidden="1" customWidth="1"/>
    <col min="17" max="17" width="1.421875" style="10" customWidth="1"/>
    <col min="18" max="18" width="2.140625" style="10" customWidth="1"/>
    <col min="19" max="16384" width="9.140625" style="24" customWidth="1"/>
  </cols>
  <sheetData>
    <row r="1" spans="1:18" s="4" customFormat="1" ht="18.75" customHeight="1">
      <c r="A1" s="1" t="s">
        <v>0</v>
      </c>
      <c r="B1" s="1"/>
      <c r="C1" s="2"/>
      <c r="D1" s="3"/>
      <c r="F1" s="5"/>
      <c r="K1" s="6"/>
      <c r="L1" s="7"/>
      <c r="M1" s="6"/>
      <c r="O1" s="8"/>
      <c r="P1" s="9"/>
      <c r="Q1" s="10"/>
      <c r="R1" s="10"/>
    </row>
    <row r="2" spans="1:18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6"/>
      <c r="N2" s="18" t="s">
        <v>2</v>
      </c>
      <c r="O2" s="19"/>
      <c r="P2" s="20"/>
      <c r="Q2" s="21"/>
      <c r="R2" s="21"/>
    </row>
    <row r="3" spans="1:14" ht="15" customHeight="1">
      <c r="A3" s="22"/>
      <c r="B3" s="22"/>
      <c r="C3" s="22"/>
      <c r="N3" s="27" t="s">
        <v>1236</v>
      </c>
    </row>
    <row r="4" spans="4:14" ht="15.75" customHeight="1">
      <c r="D4" s="29" t="s">
        <v>3</v>
      </c>
      <c r="F4" s="30"/>
      <c r="N4" s="31"/>
    </row>
    <row r="5" ht="3.75" customHeight="1">
      <c r="J5" s="32">
        <v>1.1574074074074073E-05</v>
      </c>
    </row>
    <row r="6" spans="3:8" ht="13.5" thickBot="1">
      <c r="C6" s="33"/>
      <c r="D6" s="34"/>
      <c r="E6" s="35"/>
      <c r="F6" s="36" t="s">
        <v>111</v>
      </c>
      <c r="G6" s="37"/>
      <c r="H6" s="38"/>
    </row>
    <row r="7" spans="1:18" s="49" customFormat="1" ht="13.5" thickBot="1">
      <c r="A7" s="39" t="s">
        <v>109</v>
      </c>
      <c r="B7" s="43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6" t="s">
        <v>14</v>
      </c>
      <c r="N7" s="47" t="s">
        <v>15</v>
      </c>
      <c r="O7" s="20" t="s">
        <v>18</v>
      </c>
      <c r="P7" s="20" t="s">
        <v>16</v>
      </c>
      <c r="Q7" s="48"/>
      <c r="R7" s="48"/>
    </row>
    <row r="8" spans="1:17" ht="13.5" customHeight="1">
      <c r="A8" s="50">
        <v>1</v>
      </c>
      <c r="B8" s="51"/>
      <c r="C8" s="51">
        <v>50</v>
      </c>
      <c r="D8" s="52" t="s">
        <v>60</v>
      </c>
      <c r="E8" s="53" t="s">
        <v>61</v>
      </c>
      <c r="F8" s="54" t="s">
        <v>62</v>
      </c>
      <c r="G8" s="55" t="s">
        <v>63</v>
      </c>
      <c r="H8" s="55" t="s">
        <v>64</v>
      </c>
      <c r="I8" s="55" t="s">
        <v>65</v>
      </c>
      <c r="J8" s="55"/>
      <c r="K8" s="56">
        <f aca="true" t="shared" si="0" ref="K8:K20">IF(ISBLANK(L8),"",TRUNC(0.04066*((L8/$J$5)-385)^2))</f>
        <v>886</v>
      </c>
      <c r="L8" s="57">
        <v>0.0027466435185185185</v>
      </c>
      <c r="M8" s="58" t="str">
        <f aca="true" t="shared" si="1" ref="M8:M21">IF(ISBLANK(L8),"",IF(L8&gt;0.00329861111111111,"",IF(L8&lt;=0.00253703703703704,"TSM",IF(L8&lt;=0.00261574074074074,"SM",IF(L8&lt;=0.00271990740740741,"KSM",IF(L8&lt;=0.00287037037037037,"I A",IF(L8&lt;=0.00306712962962963,"II A",IF(L8&lt;=0.00329861111111111,"III A"))))))))</f>
        <v>I A</v>
      </c>
      <c r="N8" s="55" t="s">
        <v>66</v>
      </c>
      <c r="O8" s="59" t="s">
        <v>67</v>
      </c>
      <c r="P8" s="59"/>
      <c r="Q8" s="60"/>
    </row>
    <row r="9" spans="1:17" ht="13.5" customHeight="1">
      <c r="A9" s="50">
        <v>2</v>
      </c>
      <c r="B9" s="51">
        <v>1</v>
      </c>
      <c r="C9" s="51">
        <v>108</v>
      </c>
      <c r="D9" s="52" t="s">
        <v>68</v>
      </c>
      <c r="E9" s="53" t="s">
        <v>69</v>
      </c>
      <c r="F9" s="54" t="s">
        <v>70</v>
      </c>
      <c r="G9" s="55" t="s">
        <v>71</v>
      </c>
      <c r="H9" s="55" t="s">
        <v>72</v>
      </c>
      <c r="I9" s="55" t="s">
        <v>73</v>
      </c>
      <c r="J9" s="55" t="s">
        <v>23</v>
      </c>
      <c r="K9" s="56">
        <f t="shared" si="0"/>
        <v>791</v>
      </c>
      <c r="L9" s="57">
        <v>0.002840856481481481</v>
      </c>
      <c r="M9" s="58" t="str">
        <f t="shared" si="1"/>
        <v>I A</v>
      </c>
      <c r="N9" s="55" t="s">
        <v>74</v>
      </c>
      <c r="O9" s="59"/>
      <c r="P9" s="59"/>
      <c r="Q9" s="60"/>
    </row>
    <row r="10" spans="1:17" ht="13.5" customHeight="1">
      <c r="A10" s="50">
        <v>3</v>
      </c>
      <c r="B10" s="51"/>
      <c r="C10" s="51">
        <v>20</v>
      </c>
      <c r="D10" s="52" t="s">
        <v>32</v>
      </c>
      <c r="E10" s="53" t="s">
        <v>33</v>
      </c>
      <c r="F10" s="54" t="s">
        <v>34</v>
      </c>
      <c r="G10" s="55" t="s">
        <v>35</v>
      </c>
      <c r="H10" s="55" t="s">
        <v>36</v>
      </c>
      <c r="I10" s="55" t="s">
        <v>37</v>
      </c>
      <c r="J10" s="55"/>
      <c r="K10" s="56">
        <f t="shared" si="0"/>
        <v>744</v>
      </c>
      <c r="L10" s="57">
        <v>0.002889814814814815</v>
      </c>
      <c r="M10" s="58" t="str">
        <f t="shared" si="1"/>
        <v>II A</v>
      </c>
      <c r="N10" s="55" t="s">
        <v>38</v>
      </c>
      <c r="O10" s="59" t="s">
        <v>39</v>
      </c>
      <c r="P10" s="59"/>
      <c r="Q10" s="60"/>
    </row>
    <row r="11" spans="1:17" ht="13.5" customHeight="1">
      <c r="A11" s="50">
        <v>4</v>
      </c>
      <c r="B11" s="51">
        <v>2</v>
      </c>
      <c r="C11" s="51">
        <v>109</v>
      </c>
      <c r="D11" s="52" t="s">
        <v>75</v>
      </c>
      <c r="E11" s="53" t="s">
        <v>76</v>
      </c>
      <c r="F11" s="54" t="s">
        <v>77</v>
      </c>
      <c r="G11" s="55" t="s">
        <v>71</v>
      </c>
      <c r="H11" s="55"/>
      <c r="I11" s="55"/>
      <c r="J11" s="55" t="s">
        <v>78</v>
      </c>
      <c r="K11" s="56">
        <f t="shared" si="0"/>
        <v>731</v>
      </c>
      <c r="L11" s="57">
        <v>0.0029032407407407405</v>
      </c>
      <c r="M11" s="58" t="str">
        <f t="shared" si="1"/>
        <v>II A</v>
      </c>
      <c r="N11" s="55" t="s">
        <v>79</v>
      </c>
      <c r="O11" s="59"/>
      <c r="P11" s="59"/>
      <c r="Q11" s="60"/>
    </row>
    <row r="12" spans="1:17" ht="13.5" customHeight="1">
      <c r="A12" s="50">
        <v>5</v>
      </c>
      <c r="B12" s="51"/>
      <c r="C12" s="51">
        <v>12</v>
      </c>
      <c r="D12" s="52" t="s">
        <v>19</v>
      </c>
      <c r="E12" s="53" t="s">
        <v>26</v>
      </c>
      <c r="F12" s="54" t="s">
        <v>27</v>
      </c>
      <c r="G12" s="55" t="s">
        <v>28</v>
      </c>
      <c r="H12" s="55" t="s">
        <v>29</v>
      </c>
      <c r="I12" s="55" t="s">
        <v>30</v>
      </c>
      <c r="J12" s="55"/>
      <c r="K12" s="56">
        <f t="shared" si="0"/>
        <v>692</v>
      </c>
      <c r="L12" s="57">
        <v>0.0029459490740740744</v>
      </c>
      <c r="M12" s="58" t="str">
        <f t="shared" si="1"/>
        <v>II A</v>
      </c>
      <c r="N12" s="55" t="s">
        <v>31</v>
      </c>
      <c r="O12" s="59"/>
      <c r="P12" s="59"/>
      <c r="Q12" s="60"/>
    </row>
    <row r="13" spans="1:17" ht="13.5" customHeight="1">
      <c r="A13" s="50">
        <v>6</v>
      </c>
      <c r="B13" s="51">
        <v>3</v>
      </c>
      <c r="C13" s="51">
        <v>158</v>
      </c>
      <c r="D13" s="52" t="s">
        <v>104</v>
      </c>
      <c r="E13" s="53" t="s">
        <v>105</v>
      </c>
      <c r="F13" s="54" t="s">
        <v>106</v>
      </c>
      <c r="G13" s="55" t="s">
        <v>22</v>
      </c>
      <c r="H13" s="55"/>
      <c r="I13" s="55"/>
      <c r="J13" s="55" t="s">
        <v>107</v>
      </c>
      <c r="K13" s="56">
        <f t="shared" si="0"/>
        <v>681</v>
      </c>
      <c r="L13" s="57">
        <v>0.0029574074074074073</v>
      </c>
      <c r="M13" s="58" t="str">
        <f t="shared" si="1"/>
        <v>II A</v>
      </c>
      <c r="N13" s="55" t="s">
        <v>108</v>
      </c>
      <c r="O13" s="59"/>
      <c r="P13" s="59"/>
      <c r="Q13" s="60"/>
    </row>
    <row r="14" spans="1:17" ht="13.5" customHeight="1">
      <c r="A14" s="50">
        <v>7</v>
      </c>
      <c r="B14" s="51">
        <v>4</v>
      </c>
      <c r="C14" s="51">
        <v>136</v>
      </c>
      <c r="D14" s="52" t="s">
        <v>19</v>
      </c>
      <c r="E14" s="53" t="s">
        <v>99</v>
      </c>
      <c r="F14" s="54" t="s">
        <v>100</v>
      </c>
      <c r="G14" s="55" t="s">
        <v>101</v>
      </c>
      <c r="H14" s="55" t="s">
        <v>96</v>
      </c>
      <c r="I14" s="55" t="s">
        <v>84</v>
      </c>
      <c r="J14" s="55" t="s">
        <v>102</v>
      </c>
      <c r="K14" s="56">
        <f t="shared" si="0"/>
        <v>664</v>
      </c>
      <c r="L14" s="57">
        <v>0.0029763888888888882</v>
      </c>
      <c r="M14" s="58" t="str">
        <f t="shared" si="1"/>
        <v>II A</v>
      </c>
      <c r="N14" s="55" t="s">
        <v>103</v>
      </c>
      <c r="O14" s="59"/>
      <c r="P14" s="59"/>
      <c r="Q14" s="60"/>
    </row>
    <row r="15" spans="1:17" ht="13.5" customHeight="1">
      <c r="A15" s="50">
        <v>8</v>
      </c>
      <c r="B15" s="51">
        <v>5</v>
      </c>
      <c r="C15" s="51">
        <v>119</v>
      </c>
      <c r="D15" s="52" t="s">
        <v>80</v>
      </c>
      <c r="E15" s="53" t="s">
        <v>81</v>
      </c>
      <c r="F15" s="54" t="s">
        <v>82</v>
      </c>
      <c r="G15" s="55" t="s">
        <v>83</v>
      </c>
      <c r="H15" s="55"/>
      <c r="I15" s="55" t="s">
        <v>84</v>
      </c>
      <c r="J15" s="55" t="s">
        <v>85</v>
      </c>
      <c r="K15" s="56">
        <f t="shared" si="0"/>
        <v>651</v>
      </c>
      <c r="L15" s="57">
        <v>0.0029914351851851855</v>
      </c>
      <c r="M15" s="58" t="str">
        <f t="shared" si="1"/>
        <v>II A</v>
      </c>
      <c r="N15" s="55" t="s">
        <v>86</v>
      </c>
      <c r="O15" s="59" t="s">
        <v>87</v>
      </c>
      <c r="P15" s="59"/>
      <c r="Q15" s="60"/>
    </row>
    <row r="16" spans="1:17" ht="13.5" customHeight="1">
      <c r="A16" s="50">
        <v>9</v>
      </c>
      <c r="B16" s="51"/>
      <c r="C16" s="51">
        <v>37</v>
      </c>
      <c r="D16" s="52" t="s">
        <v>47</v>
      </c>
      <c r="E16" s="53" t="s">
        <v>48</v>
      </c>
      <c r="F16" s="54" t="s">
        <v>49</v>
      </c>
      <c r="G16" s="55" t="s">
        <v>50</v>
      </c>
      <c r="H16" s="55" t="s">
        <v>51</v>
      </c>
      <c r="I16" s="55" t="s">
        <v>52</v>
      </c>
      <c r="J16" s="55"/>
      <c r="K16" s="56">
        <f t="shared" si="0"/>
        <v>568</v>
      </c>
      <c r="L16" s="57">
        <v>0.0030872685185185187</v>
      </c>
      <c r="M16" s="58" t="str">
        <f t="shared" si="1"/>
        <v>III A</v>
      </c>
      <c r="N16" s="55" t="s">
        <v>53</v>
      </c>
      <c r="O16" s="59"/>
      <c r="P16" s="59"/>
      <c r="Q16" s="60"/>
    </row>
    <row r="17" spans="1:17" ht="13.5" customHeight="1">
      <c r="A17" s="50">
        <v>10</v>
      </c>
      <c r="B17" s="51"/>
      <c r="C17" s="51">
        <v>42</v>
      </c>
      <c r="D17" s="52" t="s">
        <v>54</v>
      </c>
      <c r="E17" s="53" t="s">
        <v>55</v>
      </c>
      <c r="F17" s="54" t="s">
        <v>56</v>
      </c>
      <c r="G17" s="55" t="s">
        <v>57</v>
      </c>
      <c r="H17" s="55" t="s">
        <v>58</v>
      </c>
      <c r="I17" s="55" t="s">
        <v>37</v>
      </c>
      <c r="J17" s="55"/>
      <c r="K17" s="56">
        <f t="shared" si="0"/>
        <v>567</v>
      </c>
      <c r="L17" s="57">
        <v>0.0030885416666666665</v>
      </c>
      <c r="M17" s="58" t="str">
        <f t="shared" si="1"/>
        <v>III A</v>
      </c>
      <c r="N17" s="55" t="s">
        <v>59</v>
      </c>
      <c r="O17" s="59"/>
      <c r="P17" s="59"/>
      <c r="Q17" s="60"/>
    </row>
    <row r="18" spans="1:17" ht="13.5" customHeight="1">
      <c r="A18" s="50">
        <v>11</v>
      </c>
      <c r="B18" s="51"/>
      <c r="C18" s="51">
        <v>132</v>
      </c>
      <c r="D18" s="52" t="s">
        <v>92</v>
      </c>
      <c r="E18" s="53" t="s">
        <v>93</v>
      </c>
      <c r="F18" s="54" t="s">
        <v>94</v>
      </c>
      <c r="G18" s="55" t="s">
        <v>95</v>
      </c>
      <c r="H18" s="55" t="s">
        <v>96</v>
      </c>
      <c r="I18" s="55" t="s">
        <v>97</v>
      </c>
      <c r="J18" s="55"/>
      <c r="K18" s="56">
        <f t="shared" si="0"/>
        <v>539</v>
      </c>
      <c r="L18" s="57">
        <v>0.0031230324074074077</v>
      </c>
      <c r="M18" s="58" t="str">
        <f t="shared" si="1"/>
        <v>III A</v>
      </c>
      <c r="N18" s="55" t="s">
        <v>98</v>
      </c>
      <c r="O18" s="59"/>
      <c r="P18" s="59"/>
      <c r="Q18" s="60"/>
    </row>
    <row r="19" spans="1:17" ht="13.5" customHeight="1">
      <c r="A19" s="50">
        <v>12</v>
      </c>
      <c r="B19" s="51"/>
      <c r="C19" s="51">
        <v>24</v>
      </c>
      <c r="D19" s="52" t="s">
        <v>40</v>
      </c>
      <c r="E19" s="53" t="s">
        <v>41</v>
      </c>
      <c r="F19" s="54" t="s">
        <v>42</v>
      </c>
      <c r="G19" s="55" t="s">
        <v>43</v>
      </c>
      <c r="H19" s="55" t="s">
        <v>44</v>
      </c>
      <c r="I19" s="55" t="s">
        <v>45</v>
      </c>
      <c r="J19" s="55"/>
      <c r="K19" s="56">
        <f t="shared" si="0"/>
        <v>497</v>
      </c>
      <c r="L19" s="57">
        <v>0.0031756944444444445</v>
      </c>
      <c r="M19" s="58" t="str">
        <f t="shared" si="1"/>
        <v>III A</v>
      </c>
      <c r="N19" s="55" t="s">
        <v>46</v>
      </c>
      <c r="O19" s="59"/>
      <c r="P19" s="59"/>
      <c r="Q19" s="60"/>
    </row>
    <row r="20" spans="1:17" ht="13.5" customHeight="1">
      <c r="A20" s="50">
        <v>13</v>
      </c>
      <c r="B20" s="51"/>
      <c r="C20" s="51">
        <v>126</v>
      </c>
      <c r="D20" s="52" t="s">
        <v>68</v>
      </c>
      <c r="E20" s="53" t="s">
        <v>88</v>
      </c>
      <c r="F20" s="54" t="s">
        <v>89</v>
      </c>
      <c r="G20" s="55" t="s">
        <v>90</v>
      </c>
      <c r="H20" s="55" t="s">
        <v>9</v>
      </c>
      <c r="I20" s="55"/>
      <c r="J20" s="55"/>
      <c r="K20" s="56">
        <f t="shared" si="0"/>
        <v>441</v>
      </c>
      <c r="L20" s="57">
        <v>0.0032497685185185186</v>
      </c>
      <c r="M20" s="58" t="str">
        <f t="shared" si="1"/>
        <v>III A</v>
      </c>
      <c r="N20" s="55" t="s">
        <v>91</v>
      </c>
      <c r="O20" s="59"/>
      <c r="P20" s="59"/>
      <c r="Q20" s="60"/>
    </row>
    <row r="21" spans="1:17" ht="13.5" customHeight="1">
      <c r="A21" s="50"/>
      <c r="B21" s="51"/>
      <c r="C21" s="51">
        <v>9</v>
      </c>
      <c r="D21" s="52" t="s">
        <v>19</v>
      </c>
      <c r="E21" s="53" t="s">
        <v>20</v>
      </c>
      <c r="F21" s="54" t="s">
        <v>21</v>
      </c>
      <c r="G21" s="55" t="s">
        <v>22</v>
      </c>
      <c r="H21" s="55"/>
      <c r="I21" s="55"/>
      <c r="J21" s="55" t="s">
        <v>23</v>
      </c>
      <c r="K21" s="56"/>
      <c r="L21" s="57" t="s">
        <v>110</v>
      </c>
      <c r="M21" s="58">
        <f t="shared" si="1"/>
      </c>
      <c r="N21" s="55" t="s">
        <v>24</v>
      </c>
      <c r="O21" s="59" t="s">
        <v>25</v>
      </c>
      <c r="P21" s="59"/>
      <c r="Q21" s="60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140625" style="28" customWidth="1"/>
    <col min="2" max="2" width="2.8515625" style="28" bestFit="1" customWidth="1"/>
    <col min="3" max="3" width="3.8515625" style="28" hidden="1" customWidth="1"/>
    <col min="4" max="4" width="9.421875" style="23" customWidth="1"/>
    <col min="5" max="5" width="16.7109375" style="24" customWidth="1"/>
    <col min="6" max="6" width="9.28125" style="25" customWidth="1"/>
    <col min="7" max="7" width="9.28125" style="24" bestFit="1" customWidth="1"/>
    <col min="8" max="8" width="7.421875" style="24" customWidth="1"/>
    <col min="9" max="9" width="12.8515625" style="24" customWidth="1"/>
    <col min="10" max="10" width="5.140625" style="24" bestFit="1" customWidth="1"/>
    <col min="11" max="11" width="5.421875" style="6" customWidth="1"/>
    <col min="12" max="12" width="8.28125" style="26" customWidth="1"/>
    <col min="13" max="13" width="4.421875" style="6" customWidth="1"/>
    <col min="14" max="14" width="24.57421875" style="24" customWidth="1"/>
    <col min="15" max="16384" width="9.140625" style="24" customWidth="1"/>
  </cols>
  <sheetData>
    <row r="1" spans="1:13" s="4" customFormat="1" ht="18.75" customHeight="1">
      <c r="A1" s="1" t="s">
        <v>0</v>
      </c>
      <c r="B1" s="1"/>
      <c r="C1" s="2"/>
      <c r="D1" s="3"/>
      <c r="F1" s="5"/>
      <c r="K1" s="6"/>
      <c r="L1" s="7"/>
      <c r="M1" s="6"/>
    </row>
    <row r="2" spans="1:14" s="14" customFormat="1" ht="22.5" customHeight="1">
      <c r="A2" s="11" t="s">
        <v>1</v>
      </c>
      <c r="B2" s="65"/>
      <c r="C2" s="12"/>
      <c r="D2" s="13"/>
      <c r="F2" s="15"/>
      <c r="K2" s="16"/>
      <c r="L2" s="17"/>
      <c r="M2" s="16"/>
      <c r="N2" s="18" t="s">
        <v>2</v>
      </c>
    </row>
    <row r="3" spans="1:14" ht="15" customHeight="1">
      <c r="A3" s="22"/>
      <c r="B3" s="22"/>
      <c r="C3" s="22"/>
      <c r="N3" s="27" t="s">
        <v>1236</v>
      </c>
    </row>
    <row r="4" spans="4:14" ht="15.75" customHeight="1">
      <c r="D4" s="29" t="s">
        <v>1110</v>
      </c>
      <c r="F4" s="30"/>
      <c r="N4" s="31"/>
    </row>
    <row r="5" ht="3.75" customHeight="1">
      <c r="J5" s="32">
        <v>1.1574074074074073E-05</v>
      </c>
    </row>
    <row r="6" spans="3:8" ht="13.5" thickBot="1">
      <c r="C6" s="33"/>
      <c r="D6" s="34"/>
      <c r="E6" s="35"/>
      <c r="F6" s="36" t="s">
        <v>111</v>
      </c>
      <c r="G6" s="37"/>
      <c r="H6" s="38"/>
    </row>
    <row r="7" spans="1:14" s="49" customFormat="1" ht="13.5" thickBot="1">
      <c r="A7" s="39" t="s">
        <v>109</v>
      </c>
      <c r="B7" s="45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6" t="s">
        <v>14</v>
      </c>
      <c r="N7" s="47" t="s">
        <v>15</v>
      </c>
    </row>
    <row r="8" spans="1:14" ht="13.5" customHeight="1">
      <c r="A8" s="50">
        <v>1</v>
      </c>
      <c r="B8" s="51">
        <v>1</v>
      </c>
      <c r="C8" s="51">
        <v>144</v>
      </c>
      <c r="D8" s="52" t="s">
        <v>1109</v>
      </c>
      <c r="E8" s="53" t="s">
        <v>1108</v>
      </c>
      <c r="F8" s="54" t="s">
        <v>1107</v>
      </c>
      <c r="G8" s="55" t="s">
        <v>83</v>
      </c>
      <c r="H8" s="55" t="s">
        <v>237</v>
      </c>
      <c r="I8" s="55" t="s">
        <v>164</v>
      </c>
      <c r="J8" s="55" t="s">
        <v>287</v>
      </c>
      <c r="K8" s="261">
        <f>IF(ISBLANK(L8),"",TRUNC(0.000808*((L8/$J$5)-2100)^2))</f>
        <v>930</v>
      </c>
      <c r="L8" s="260">
        <v>0.011886689814814813</v>
      </c>
      <c r="M8" s="259" t="str">
        <f>IF(ISBLANK(L8),"",IF(L8&gt;0.0149305555555556,"",IF(L8&lt;=0.0107060185185185,"TSM",IF(L8&lt;=0.0112268518518519,"SM",IF(L8&lt;=0.0118634259259259,"KSM",IF(L8&lt;=0.0126736111111111,"I A",IF(L8&lt;=0.0137152777777778,"II A",IF(L8&lt;=0.0149305555555556,"III A"))))))))</f>
        <v>I A</v>
      </c>
      <c r="N8" s="55" t="s">
        <v>1106</v>
      </c>
    </row>
    <row r="9" spans="1:14" ht="13.5" customHeight="1">
      <c r="A9" s="50">
        <v>2</v>
      </c>
      <c r="B9" s="51"/>
      <c r="C9" s="51">
        <v>143</v>
      </c>
      <c r="D9" s="52" t="s">
        <v>853</v>
      </c>
      <c r="E9" s="53" t="s">
        <v>1105</v>
      </c>
      <c r="F9" s="54" t="s">
        <v>1104</v>
      </c>
      <c r="G9" s="55" t="s">
        <v>1103</v>
      </c>
      <c r="H9" s="55"/>
      <c r="I9" s="55" t="s">
        <v>164</v>
      </c>
      <c r="J9" s="55"/>
      <c r="K9" s="261">
        <f>IF(ISBLANK(L9),"",TRUNC(0.000808*((L9/$J$5)-2100)^2))</f>
        <v>887</v>
      </c>
      <c r="L9" s="260">
        <v>0.012178472222222222</v>
      </c>
      <c r="M9" s="259" t="str">
        <f>IF(ISBLANK(L9),"",IF(L9&gt;0.0149305555555556,"",IF(L9&lt;=0.0107060185185185,"TSM",IF(L9&lt;=0.0112268518518519,"SM",IF(L9&lt;=0.0118634259259259,"KSM",IF(L9&lt;=0.0126736111111111,"I A",IF(L9&lt;=0.0137152777777778,"II A",IF(L9&lt;=0.0149305555555556,"III A"))))))))</f>
        <v>I A</v>
      </c>
      <c r="N9" s="55" t="s">
        <v>1102</v>
      </c>
    </row>
    <row r="10" spans="1:14" ht="13.5" customHeight="1">
      <c r="A10" s="50">
        <v>3</v>
      </c>
      <c r="B10" s="51">
        <v>2</v>
      </c>
      <c r="C10" s="51">
        <v>146</v>
      </c>
      <c r="D10" s="52" t="s">
        <v>886</v>
      </c>
      <c r="E10" s="53" t="s">
        <v>1101</v>
      </c>
      <c r="F10" s="54" t="s">
        <v>1100</v>
      </c>
      <c r="G10" s="55" t="s">
        <v>83</v>
      </c>
      <c r="H10" s="55"/>
      <c r="I10" s="55"/>
      <c r="J10" s="55" t="s">
        <v>437</v>
      </c>
      <c r="K10" s="261">
        <f>IF(ISBLANK(L10),"",TRUNC(0.000808*((L10/$J$5)-2100)^2))</f>
        <v>740</v>
      </c>
      <c r="L10" s="260">
        <v>0.013222685185185185</v>
      </c>
      <c r="M10" s="259" t="str">
        <f>IF(ISBLANK(L10),"",IF(L10&gt;0.0149305555555556,"",IF(L10&lt;=0.0107060185185185,"TSM",IF(L10&lt;=0.0112268518518519,"SM",IF(L10&lt;=0.0118634259259259,"KSM",IF(L10&lt;=0.0126736111111111,"I A",IF(L10&lt;=0.0137152777777778,"II A",IF(L10&lt;=0.0149305555555556,"III A"))))))))</f>
        <v>II A</v>
      </c>
      <c r="N10" s="55" t="s">
        <v>1099</v>
      </c>
    </row>
    <row r="11" spans="1:14" ht="13.5" customHeight="1">
      <c r="A11" s="50">
        <v>4</v>
      </c>
      <c r="B11" s="51">
        <v>3</v>
      </c>
      <c r="C11" s="51">
        <v>1</v>
      </c>
      <c r="D11" s="52" t="s">
        <v>1098</v>
      </c>
      <c r="E11" s="53" t="s">
        <v>1097</v>
      </c>
      <c r="F11" s="54" t="s">
        <v>1096</v>
      </c>
      <c r="G11" s="55" t="s">
        <v>132</v>
      </c>
      <c r="H11" s="55" t="s">
        <v>131</v>
      </c>
      <c r="I11" s="55" t="s">
        <v>702</v>
      </c>
      <c r="J11" s="55" t="s">
        <v>171</v>
      </c>
      <c r="K11" s="261">
        <f>IF(ISBLANK(L11),"",TRUNC(0.000808*((L11/$J$5)-2100)^2))</f>
        <v>643</v>
      </c>
      <c r="L11" s="260">
        <v>0.013976273148148149</v>
      </c>
      <c r="M11" s="259" t="str">
        <f>IF(ISBLANK(L11),"",IF(L11&gt;0.0149305555555556,"",IF(L11&lt;=0.0107060185185185,"TSM",IF(L11&lt;=0.0112268518518519,"SM",IF(L11&lt;=0.0118634259259259,"KSM",IF(L11&lt;=0.0126736111111111,"I A",IF(L11&lt;=0.0137152777777778,"II A",IF(L11&lt;=0.0149305555555556,"III A"))))))))</f>
        <v>III A</v>
      </c>
      <c r="N11" s="55" t="s">
        <v>1095</v>
      </c>
    </row>
    <row r="12" spans="1:14" ht="13.5" customHeight="1">
      <c r="A12" s="50">
        <v>5</v>
      </c>
      <c r="B12" s="51"/>
      <c r="C12" s="51">
        <v>117</v>
      </c>
      <c r="D12" s="52" t="s">
        <v>1094</v>
      </c>
      <c r="E12" s="53" t="s">
        <v>1093</v>
      </c>
      <c r="F12" s="54" t="s">
        <v>1092</v>
      </c>
      <c r="G12" s="55" t="s">
        <v>527</v>
      </c>
      <c r="H12" s="55" t="s">
        <v>528</v>
      </c>
      <c r="I12" s="55" t="s">
        <v>37</v>
      </c>
      <c r="J12" s="55"/>
      <c r="K12" s="261">
        <f>IF(ISBLANK(L12),"",TRUNC(0.000808*((L12/$J$5)-2100)^2))</f>
        <v>621</v>
      </c>
      <c r="L12" s="260">
        <v>0.014152314814814817</v>
      </c>
      <c r="M12" s="259" t="str">
        <f>IF(ISBLANK(L12),"",IF(L12&gt;0.0149305555555556,"",IF(L12&lt;=0.0107060185185185,"TSM",IF(L12&lt;=0.0112268518518519,"SM",IF(L12&lt;=0.0118634259259259,"KSM",IF(L12&lt;=0.0126736111111111,"I A",IF(L12&lt;=0.0137152777777778,"II A",IF(L12&lt;=0.0149305555555556,"III A"))))))))</f>
        <v>III A</v>
      </c>
      <c r="N12" s="55" t="s">
        <v>529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O20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28125" style="28" customWidth="1"/>
    <col min="2" max="2" width="4.140625" style="28" customWidth="1"/>
    <col min="3" max="3" width="3.8515625" style="28" hidden="1" customWidth="1"/>
    <col min="4" max="4" width="9.421875" style="23" customWidth="1"/>
    <col min="5" max="5" width="16.7109375" style="24" customWidth="1"/>
    <col min="6" max="6" width="9.28125" style="25" customWidth="1"/>
    <col min="7" max="7" width="10.421875" style="24" bestFit="1" customWidth="1"/>
    <col min="8" max="8" width="7.421875" style="24" customWidth="1"/>
    <col min="9" max="9" width="12.8515625" style="24" customWidth="1"/>
    <col min="10" max="10" width="5.140625" style="24" bestFit="1" customWidth="1"/>
    <col min="11" max="11" width="5.421875" style="6" customWidth="1"/>
    <col min="12" max="12" width="8.28125" style="26" customWidth="1"/>
    <col min="13" max="13" width="4.421875" style="6" customWidth="1"/>
    <col min="14" max="14" width="24.57421875" style="24" customWidth="1"/>
    <col min="15" max="16384" width="9.140625" style="24" customWidth="1"/>
  </cols>
  <sheetData>
    <row r="1" spans="1:13" s="4" customFormat="1" ht="18.75" customHeight="1">
      <c r="A1" s="1" t="s">
        <v>0</v>
      </c>
      <c r="B1" s="1"/>
      <c r="C1" s="2"/>
      <c r="D1" s="3"/>
      <c r="F1" s="5"/>
      <c r="K1" s="6"/>
      <c r="L1" s="7"/>
      <c r="M1" s="6"/>
    </row>
    <row r="2" spans="1:14" s="14" customFormat="1" ht="22.5" customHeight="1">
      <c r="A2" s="11" t="s">
        <v>1</v>
      </c>
      <c r="B2" s="65"/>
      <c r="C2" s="12"/>
      <c r="D2" s="13"/>
      <c r="F2" s="15"/>
      <c r="K2" s="16"/>
      <c r="L2" s="17"/>
      <c r="M2" s="16"/>
      <c r="N2" s="18" t="s">
        <v>2</v>
      </c>
    </row>
    <row r="3" spans="1:14" ht="15" customHeight="1">
      <c r="A3" s="22"/>
      <c r="B3" s="22"/>
      <c r="C3" s="22"/>
      <c r="N3" s="27" t="s">
        <v>1236</v>
      </c>
    </row>
    <row r="4" spans="4:14" ht="15.75" customHeight="1">
      <c r="D4" s="29" t="s">
        <v>1153</v>
      </c>
      <c r="F4" s="30"/>
      <c r="N4" s="31"/>
    </row>
    <row r="5" ht="3.75" customHeight="1">
      <c r="J5" s="176">
        <v>1.1574074074074073E-05</v>
      </c>
    </row>
    <row r="6" spans="3:8" ht="13.5" thickBot="1">
      <c r="C6" s="33"/>
      <c r="D6" s="34"/>
      <c r="E6" s="35"/>
      <c r="F6" s="36" t="s">
        <v>111</v>
      </c>
      <c r="G6" s="37"/>
      <c r="H6" s="38"/>
    </row>
    <row r="7" spans="1:14" s="49" customFormat="1" ht="13.5" thickBot="1">
      <c r="A7" s="39" t="s">
        <v>109</v>
      </c>
      <c r="B7" s="40" t="s">
        <v>17</v>
      </c>
      <c r="C7" s="45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6" t="s">
        <v>14</v>
      </c>
      <c r="N7" s="47" t="s">
        <v>15</v>
      </c>
    </row>
    <row r="8" spans="1:15" ht="13.5" customHeight="1">
      <c r="A8" s="50">
        <v>1</v>
      </c>
      <c r="B8" s="51"/>
      <c r="C8" s="51">
        <v>149</v>
      </c>
      <c r="D8" s="52" t="s">
        <v>646</v>
      </c>
      <c r="E8" s="53" t="s">
        <v>1154</v>
      </c>
      <c r="F8" s="54" t="s">
        <v>1155</v>
      </c>
      <c r="G8" s="55" t="s">
        <v>1156</v>
      </c>
      <c r="H8" s="55" t="s">
        <v>1157</v>
      </c>
      <c r="I8" s="55" t="s">
        <v>37</v>
      </c>
      <c r="J8" s="55"/>
      <c r="K8" s="56">
        <f aca="true" t="shared" si="0" ref="K8:K20">IF(ISBLANK(L8),"",TRUNC(0.002778*((L8/$J$5)-1440)^2))</f>
        <v>767</v>
      </c>
      <c r="L8" s="57">
        <v>0.010581365740740742</v>
      </c>
      <c r="M8" s="58" t="str">
        <f aca="true" t="shared" si="1" ref="M8:M20">IF(ISBLANK(L8),"",IF(L8&gt;0.0123842592592593,"",IF(L8&lt;=0.00936342592592593,"TSM",IF(L8&lt;=0.00972222222222222,"SM",IF(L8&lt;=0.0101273148148148,"KSM",IF(L8&lt;=0.0107060185185185,"I A",IF(L8&lt;=0.0114583333333333,"II A",IF(L8&lt;=0.0123842592592593,"III A"))))))))</f>
        <v>I A</v>
      </c>
      <c r="N8" s="55" t="s">
        <v>1158</v>
      </c>
      <c r="O8" s="8"/>
    </row>
    <row r="9" spans="1:15" ht="13.5" customHeight="1">
      <c r="A9" s="50">
        <v>2</v>
      </c>
      <c r="B9" s="51"/>
      <c r="C9" s="51">
        <v>133</v>
      </c>
      <c r="D9" s="52" t="s">
        <v>1159</v>
      </c>
      <c r="E9" s="53" t="s">
        <v>1160</v>
      </c>
      <c r="F9" s="54" t="s">
        <v>514</v>
      </c>
      <c r="G9" s="55" t="s">
        <v>407</v>
      </c>
      <c r="H9" s="55" t="s">
        <v>96</v>
      </c>
      <c r="I9" s="55" t="s">
        <v>97</v>
      </c>
      <c r="J9" s="55"/>
      <c r="K9" s="56">
        <f t="shared" si="0"/>
        <v>719</v>
      </c>
      <c r="L9" s="57">
        <v>0.010778356481481483</v>
      </c>
      <c r="M9" s="58" t="str">
        <f t="shared" si="1"/>
        <v>II A</v>
      </c>
      <c r="N9" s="55" t="s">
        <v>384</v>
      </c>
      <c r="O9" s="8"/>
    </row>
    <row r="10" spans="1:15" ht="13.5" customHeight="1">
      <c r="A10" s="50">
        <v>3</v>
      </c>
      <c r="B10" s="51">
        <v>1</v>
      </c>
      <c r="C10" s="51">
        <v>134</v>
      </c>
      <c r="D10" s="52" t="s">
        <v>1161</v>
      </c>
      <c r="E10" s="53" t="s">
        <v>1162</v>
      </c>
      <c r="F10" s="54" t="s">
        <v>1163</v>
      </c>
      <c r="G10" s="55" t="s">
        <v>1164</v>
      </c>
      <c r="H10" s="55" t="s">
        <v>1165</v>
      </c>
      <c r="I10" s="55" t="s">
        <v>97</v>
      </c>
      <c r="J10" s="55" t="s">
        <v>287</v>
      </c>
      <c r="K10" s="56">
        <f t="shared" si="0"/>
        <v>690</v>
      </c>
      <c r="L10" s="57">
        <v>0.01089537037037037</v>
      </c>
      <c r="M10" s="58" t="str">
        <f t="shared" si="1"/>
        <v>II A</v>
      </c>
      <c r="N10" s="55" t="s">
        <v>1166</v>
      </c>
      <c r="O10" s="8"/>
    </row>
    <row r="11" spans="1:15" ht="13.5" customHeight="1">
      <c r="A11" s="50">
        <v>4</v>
      </c>
      <c r="B11" s="51">
        <v>2</v>
      </c>
      <c r="C11" s="51">
        <v>120</v>
      </c>
      <c r="D11" s="52" t="s">
        <v>257</v>
      </c>
      <c r="E11" s="53" t="s">
        <v>1167</v>
      </c>
      <c r="F11" s="54" t="s">
        <v>1168</v>
      </c>
      <c r="G11" s="55" t="s">
        <v>83</v>
      </c>
      <c r="H11" s="55"/>
      <c r="I11" s="55" t="s">
        <v>84</v>
      </c>
      <c r="J11" s="55" t="s">
        <v>85</v>
      </c>
      <c r="K11" s="56">
        <f t="shared" si="0"/>
        <v>647</v>
      </c>
      <c r="L11" s="57">
        <v>0.011080902777777778</v>
      </c>
      <c r="M11" s="58" t="str">
        <f t="shared" si="1"/>
        <v>II A</v>
      </c>
      <c r="N11" s="55" t="s">
        <v>1169</v>
      </c>
      <c r="O11" s="8"/>
    </row>
    <row r="12" spans="1:15" ht="13.5" customHeight="1">
      <c r="A12" s="50">
        <v>5</v>
      </c>
      <c r="B12" s="51"/>
      <c r="C12" s="51">
        <v>11</v>
      </c>
      <c r="D12" s="52" t="s">
        <v>698</v>
      </c>
      <c r="E12" s="53" t="s">
        <v>1170</v>
      </c>
      <c r="F12" s="54" t="s">
        <v>1171</v>
      </c>
      <c r="G12" s="55" t="s">
        <v>1172</v>
      </c>
      <c r="H12" s="55" t="s">
        <v>1173</v>
      </c>
      <c r="I12" s="55" t="s">
        <v>130</v>
      </c>
      <c r="J12" s="55"/>
      <c r="K12" s="56">
        <f t="shared" si="0"/>
        <v>637</v>
      </c>
      <c r="L12" s="57">
        <v>0.011123263888888887</v>
      </c>
      <c r="M12" s="58" t="str">
        <f t="shared" si="1"/>
        <v>II A</v>
      </c>
      <c r="N12" s="55" t="s">
        <v>1174</v>
      </c>
      <c r="O12" s="8"/>
    </row>
    <row r="13" spans="1:15" ht="13.5" customHeight="1">
      <c r="A13" s="50">
        <v>6</v>
      </c>
      <c r="B13" s="51">
        <v>3</v>
      </c>
      <c r="C13" s="51">
        <v>8</v>
      </c>
      <c r="D13" s="52" t="s">
        <v>549</v>
      </c>
      <c r="E13" s="53" t="s">
        <v>1175</v>
      </c>
      <c r="F13" s="54" t="s">
        <v>1176</v>
      </c>
      <c r="G13" s="55" t="s">
        <v>22</v>
      </c>
      <c r="H13" s="55"/>
      <c r="I13" s="55"/>
      <c r="J13" s="55" t="s">
        <v>23</v>
      </c>
      <c r="K13" s="56">
        <f t="shared" si="0"/>
        <v>602</v>
      </c>
      <c r="L13" s="57">
        <v>0.011275347222222223</v>
      </c>
      <c r="M13" s="58" t="str">
        <f t="shared" si="1"/>
        <v>II A</v>
      </c>
      <c r="N13" s="55" t="s">
        <v>1177</v>
      </c>
      <c r="O13" s="8"/>
    </row>
    <row r="14" spans="1:15" ht="13.5" customHeight="1">
      <c r="A14" s="50">
        <v>7</v>
      </c>
      <c r="B14" s="51"/>
      <c r="C14" s="51">
        <v>125</v>
      </c>
      <c r="D14" s="52" t="s">
        <v>257</v>
      </c>
      <c r="E14" s="53" t="s">
        <v>1178</v>
      </c>
      <c r="F14" s="54" t="s">
        <v>1179</v>
      </c>
      <c r="G14" s="55" t="s">
        <v>90</v>
      </c>
      <c r="H14" s="55" t="s">
        <v>9</v>
      </c>
      <c r="I14" s="55"/>
      <c r="J14" s="55"/>
      <c r="K14" s="56">
        <f t="shared" si="0"/>
        <v>568</v>
      </c>
      <c r="L14" s="57">
        <v>0.011429398148148147</v>
      </c>
      <c r="M14" s="58" t="str">
        <f t="shared" si="1"/>
        <v>II A</v>
      </c>
      <c r="N14" s="55" t="s">
        <v>91</v>
      </c>
      <c r="O14" s="8"/>
    </row>
    <row r="15" spans="1:15" ht="13.5" customHeight="1">
      <c r="A15" s="50">
        <v>8</v>
      </c>
      <c r="B15" s="51"/>
      <c r="C15" s="51">
        <v>110</v>
      </c>
      <c r="D15" s="52" t="s">
        <v>92</v>
      </c>
      <c r="E15" s="53" t="s">
        <v>1180</v>
      </c>
      <c r="F15" s="54" t="s">
        <v>1155</v>
      </c>
      <c r="G15" s="55" t="s">
        <v>22</v>
      </c>
      <c r="H15" s="55"/>
      <c r="I15" s="55" t="s">
        <v>1181</v>
      </c>
      <c r="J15" s="55"/>
      <c r="K15" s="56">
        <f t="shared" si="0"/>
        <v>542</v>
      </c>
      <c r="L15" s="57">
        <v>0.011553472222222222</v>
      </c>
      <c r="M15" s="58" t="str">
        <f t="shared" si="1"/>
        <v>III A</v>
      </c>
      <c r="N15" s="55" t="s">
        <v>1182</v>
      </c>
      <c r="O15" s="8"/>
    </row>
    <row r="16" spans="1:15" ht="13.5" customHeight="1">
      <c r="A16" s="50">
        <v>9</v>
      </c>
      <c r="B16" s="51">
        <v>4</v>
      </c>
      <c r="C16" s="51">
        <v>34</v>
      </c>
      <c r="D16" s="52" t="s">
        <v>549</v>
      </c>
      <c r="E16" s="53" t="s">
        <v>1183</v>
      </c>
      <c r="F16" s="54" t="s">
        <v>1184</v>
      </c>
      <c r="G16" s="55" t="s">
        <v>83</v>
      </c>
      <c r="H16" s="55" t="s">
        <v>1185</v>
      </c>
      <c r="I16" s="55" t="s">
        <v>47</v>
      </c>
      <c r="J16" s="55" t="s">
        <v>627</v>
      </c>
      <c r="K16" s="56">
        <f t="shared" si="0"/>
        <v>509</v>
      </c>
      <c r="L16" s="57">
        <v>0.011711921296296295</v>
      </c>
      <c r="M16" s="58" t="str">
        <f t="shared" si="1"/>
        <v>III A</v>
      </c>
      <c r="N16" s="55" t="s">
        <v>1186</v>
      </c>
      <c r="O16" s="8"/>
    </row>
    <row r="17" spans="1:15" ht="13.5" customHeight="1">
      <c r="A17" s="50">
        <v>10</v>
      </c>
      <c r="B17" s="51">
        <v>5</v>
      </c>
      <c r="C17" s="51">
        <v>155</v>
      </c>
      <c r="D17" s="52" t="s">
        <v>1187</v>
      </c>
      <c r="E17" s="53" t="s">
        <v>1188</v>
      </c>
      <c r="F17" s="54" t="s">
        <v>1189</v>
      </c>
      <c r="G17" s="55" t="s">
        <v>1190</v>
      </c>
      <c r="H17" s="55"/>
      <c r="I17" s="55"/>
      <c r="J17" s="55" t="s">
        <v>147</v>
      </c>
      <c r="K17" s="56">
        <f t="shared" si="0"/>
        <v>444</v>
      </c>
      <c r="L17" s="57">
        <v>0.01203587962962963</v>
      </c>
      <c r="M17" s="58" t="str">
        <f t="shared" si="1"/>
        <v>III A</v>
      </c>
      <c r="N17" s="55" t="s">
        <v>46</v>
      </c>
      <c r="O17" s="8"/>
    </row>
    <row r="18" spans="1:15" ht="13.5" customHeight="1">
      <c r="A18" s="50">
        <v>11</v>
      </c>
      <c r="B18" s="51"/>
      <c r="C18" s="51">
        <v>173</v>
      </c>
      <c r="D18" s="52" t="s">
        <v>1191</v>
      </c>
      <c r="E18" s="53" t="s">
        <v>1192</v>
      </c>
      <c r="F18" s="54" t="s">
        <v>268</v>
      </c>
      <c r="G18" s="55" t="s">
        <v>615</v>
      </c>
      <c r="H18" s="55" t="s">
        <v>9</v>
      </c>
      <c r="I18" s="55" t="s">
        <v>130</v>
      </c>
      <c r="J18" s="55"/>
      <c r="K18" s="56">
        <f t="shared" si="0"/>
        <v>442</v>
      </c>
      <c r="L18" s="57">
        <v>0.012047453703703704</v>
      </c>
      <c r="M18" s="58" t="str">
        <f t="shared" si="1"/>
        <v>III A</v>
      </c>
      <c r="N18" s="55" t="s">
        <v>616</v>
      </c>
      <c r="O18" s="8"/>
    </row>
    <row r="19" spans="1:15" ht="13.5" customHeight="1">
      <c r="A19" s="50">
        <v>12</v>
      </c>
      <c r="B19" s="51">
        <v>6</v>
      </c>
      <c r="C19" s="51">
        <v>122</v>
      </c>
      <c r="D19" s="52" t="s">
        <v>1193</v>
      </c>
      <c r="E19" s="53" t="s">
        <v>1194</v>
      </c>
      <c r="F19" s="54" t="s">
        <v>1195</v>
      </c>
      <c r="G19" s="55" t="s">
        <v>83</v>
      </c>
      <c r="H19" s="55"/>
      <c r="I19" s="55"/>
      <c r="J19" s="55" t="s">
        <v>85</v>
      </c>
      <c r="K19" s="56">
        <f t="shared" si="0"/>
        <v>401</v>
      </c>
      <c r="L19" s="57">
        <v>0.012265740740740742</v>
      </c>
      <c r="M19" s="58" t="str">
        <f t="shared" si="1"/>
        <v>III A</v>
      </c>
      <c r="N19" s="55" t="s">
        <v>367</v>
      </c>
      <c r="O19" s="8"/>
    </row>
    <row r="20" spans="1:15" ht="13.5" customHeight="1">
      <c r="A20" s="50">
        <v>13</v>
      </c>
      <c r="B20" s="51"/>
      <c r="C20" s="51">
        <v>39</v>
      </c>
      <c r="D20" s="52" t="s">
        <v>1161</v>
      </c>
      <c r="E20" s="53" t="s">
        <v>1196</v>
      </c>
      <c r="F20" s="54" t="s">
        <v>1197</v>
      </c>
      <c r="G20" s="55" t="s">
        <v>50</v>
      </c>
      <c r="H20" s="55" t="s">
        <v>51</v>
      </c>
      <c r="I20" s="55" t="s">
        <v>511</v>
      </c>
      <c r="J20" s="55"/>
      <c r="K20" s="56">
        <f t="shared" si="0"/>
        <v>372</v>
      </c>
      <c r="L20" s="57">
        <v>0.012426736111111112</v>
      </c>
      <c r="M20" s="58">
        <f t="shared" si="1"/>
      </c>
      <c r="N20" s="55" t="s">
        <v>1198</v>
      </c>
      <c r="O20" s="8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2.8515625" style="28" bestFit="1" customWidth="1"/>
    <col min="3" max="3" width="4.7109375" style="28" hidden="1" customWidth="1"/>
    <col min="4" max="4" width="9.421875" style="23" customWidth="1"/>
    <col min="5" max="5" width="16.7109375" style="24" customWidth="1"/>
    <col min="6" max="6" width="9.28125" style="25" customWidth="1"/>
    <col min="7" max="7" width="8.00390625" style="24" customWidth="1"/>
    <col min="8" max="8" width="7.421875" style="24" customWidth="1"/>
    <col min="9" max="9" width="12.8515625" style="24" customWidth="1"/>
    <col min="10" max="10" width="5.140625" style="24" bestFit="1" customWidth="1"/>
    <col min="11" max="11" width="5.421875" style="6" customWidth="1"/>
    <col min="12" max="12" width="7.140625" style="26" customWidth="1"/>
    <col min="13" max="13" width="4.00390625" style="26" customWidth="1"/>
    <col min="14" max="14" width="4.7109375" style="26" customWidth="1"/>
    <col min="15" max="15" width="6.00390625" style="26" hidden="1" customWidth="1"/>
    <col min="16" max="16" width="4.00390625" style="26" hidden="1" customWidth="1"/>
    <col min="17" max="17" width="4.7109375" style="26" hidden="1" customWidth="1"/>
    <col min="18" max="18" width="4.421875" style="6" customWidth="1"/>
    <col min="19" max="19" width="22.421875" style="24" customWidth="1"/>
    <col min="20" max="16384" width="9.140625" style="24" customWidth="1"/>
  </cols>
  <sheetData>
    <row r="1" spans="1:18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</row>
    <row r="2" spans="1:19" s="14" customFormat="1" ht="22.5" customHeight="1">
      <c r="A2" s="11" t="s">
        <v>1</v>
      </c>
      <c r="B2" s="65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292</v>
      </c>
      <c r="F4" s="30"/>
      <c r="S4" s="31"/>
    </row>
    <row r="5" ht="3.75" customHeight="1"/>
    <row r="6" spans="3:8" ht="13.5" thickBot="1">
      <c r="C6" s="33"/>
      <c r="D6" s="34"/>
      <c r="E6" s="35"/>
      <c r="F6" s="36" t="s">
        <v>111</v>
      </c>
      <c r="G6" s="37"/>
      <c r="H6" s="38"/>
    </row>
    <row r="7" spans="1:19" s="49" customFormat="1" ht="13.5" thickBot="1">
      <c r="A7" s="39" t="s">
        <v>109</v>
      </c>
      <c r="B7" s="45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4" t="s">
        <v>13</v>
      </c>
      <c r="M7" s="44" t="s">
        <v>293</v>
      </c>
      <c r="N7" s="44" t="s">
        <v>294</v>
      </c>
      <c r="O7" s="44"/>
      <c r="P7" s="44"/>
      <c r="Q7" s="44"/>
      <c r="R7" s="46" t="s">
        <v>14</v>
      </c>
      <c r="S7" s="47" t="s">
        <v>15</v>
      </c>
    </row>
    <row r="8" spans="1:21" ht="13.5" customHeight="1">
      <c r="A8" s="50">
        <v>1</v>
      </c>
      <c r="B8" s="51"/>
      <c r="C8" s="51" t="s">
        <v>295</v>
      </c>
      <c r="D8" s="52" t="s">
        <v>296</v>
      </c>
      <c r="E8" s="53" t="s">
        <v>297</v>
      </c>
      <c r="F8" s="54" t="s">
        <v>174</v>
      </c>
      <c r="G8" s="55" t="s">
        <v>298</v>
      </c>
      <c r="H8" s="55"/>
      <c r="I8" s="55" t="s">
        <v>299</v>
      </c>
      <c r="J8" s="55"/>
      <c r="K8" s="168">
        <f aca="true" t="shared" si="0" ref="K8:K13">IF(ISBLANK(L8),"",TRUNC(3.98*((L8)-30)^2))</f>
        <v>1047</v>
      </c>
      <c r="L8" s="169">
        <v>13.78</v>
      </c>
      <c r="M8" s="170">
        <v>0.5</v>
      </c>
      <c r="N8" s="171" t="s">
        <v>300</v>
      </c>
      <c r="O8" s="172"/>
      <c r="P8" s="170"/>
      <c r="Q8" s="171"/>
      <c r="R8" s="173" t="str">
        <f aca="true" t="shared" si="1" ref="R8:R14">IF(ISBLANK(L8),"",IF(L8&gt;19.04,"",IF(L8&lt;=13.11,"TSM",IF(L8&lt;=14,"SM",IF(L8&lt;=15.04,"KSM",IF(L8&lt;=16.24,"I A",IF(L8&lt;=17.64,"II A",IF(L8&lt;=19.04,"III A"))))))))</f>
        <v>SM</v>
      </c>
      <c r="S8" s="55" t="s">
        <v>301</v>
      </c>
      <c r="T8" s="6"/>
      <c r="U8" s="6"/>
    </row>
    <row r="9" spans="1:21" ht="13.5" customHeight="1">
      <c r="A9" s="50">
        <v>2</v>
      </c>
      <c r="B9" s="51"/>
      <c r="C9" s="51">
        <v>138</v>
      </c>
      <c r="D9" s="52" t="s">
        <v>302</v>
      </c>
      <c r="E9" s="53" t="s">
        <v>303</v>
      </c>
      <c r="F9" s="54" t="s">
        <v>304</v>
      </c>
      <c r="G9" s="55" t="s">
        <v>83</v>
      </c>
      <c r="H9" s="55"/>
      <c r="I9" s="55" t="s">
        <v>65</v>
      </c>
      <c r="J9" s="55"/>
      <c r="K9" s="168">
        <f t="shared" si="0"/>
        <v>989</v>
      </c>
      <c r="L9" s="169">
        <v>14.23</v>
      </c>
      <c r="M9" s="170">
        <v>0.5</v>
      </c>
      <c r="N9" s="171" t="s">
        <v>300</v>
      </c>
      <c r="O9" s="172"/>
      <c r="P9" s="170"/>
      <c r="Q9" s="171"/>
      <c r="R9" s="173" t="str">
        <f t="shared" si="1"/>
        <v>KSM</v>
      </c>
      <c r="S9" s="55" t="s">
        <v>305</v>
      </c>
      <c r="T9" s="6"/>
      <c r="U9" s="6"/>
    </row>
    <row r="10" spans="1:21" ht="13.5" customHeight="1">
      <c r="A10" s="50">
        <v>3</v>
      </c>
      <c r="B10" s="51">
        <v>1</v>
      </c>
      <c r="C10" s="51" t="s">
        <v>306</v>
      </c>
      <c r="D10" s="52" t="s">
        <v>307</v>
      </c>
      <c r="E10" s="53" t="s">
        <v>308</v>
      </c>
      <c r="F10" s="54" t="s">
        <v>309</v>
      </c>
      <c r="G10" s="55" t="s">
        <v>310</v>
      </c>
      <c r="H10" s="55"/>
      <c r="I10" s="55" t="s">
        <v>84</v>
      </c>
      <c r="J10" s="55" t="s">
        <v>311</v>
      </c>
      <c r="K10" s="168">
        <f t="shared" si="0"/>
        <v>988</v>
      </c>
      <c r="L10" s="169">
        <v>14.24</v>
      </c>
      <c r="M10" s="170">
        <v>0.5</v>
      </c>
      <c r="N10" s="171" t="s">
        <v>300</v>
      </c>
      <c r="O10" s="172"/>
      <c r="P10" s="170"/>
      <c r="Q10" s="171"/>
      <c r="R10" s="173" t="str">
        <f t="shared" si="1"/>
        <v>KSM</v>
      </c>
      <c r="S10" s="55" t="s">
        <v>312</v>
      </c>
      <c r="T10" s="6"/>
      <c r="U10" s="6"/>
    </row>
    <row r="11" spans="1:21" ht="13.5" customHeight="1">
      <c r="A11" s="50">
        <v>4</v>
      </c>
      <c r="B11" s="51"/>
      <c r="C11" s="51" t="s">
        <v>313</v>
      </c>
      <c r="D11" s="52" t="s">
        <v>139</v>
      </c>
      <c r="E11" s="53" t="s">
        <v>314</v>
      </c>
      <c r="F11" s="54" t="s">
        <v>315</v>
      </c>
      <c r="G11" s="55" t="s">
        <v>83</v>
      </c>
      <c r="H11" s="55" t="s">
        <v>243</v>
      </c>
      <c r="I11" s="55" t="s">
        <v>164</v>
      </c>
      <c r="J11" s="55"/>
      <c r="K11" s="168">
        <f t="shared" si="0"/>
        <v>924</v>
      </c>
      <c r="L11" s="169">
        <v>14.76</v>
      </c>
      <c r="M11" s="170">
        <v>0.5</v>
      </c>
      <c r="N11" s="171" t="s">
        <v>300</v>
      </c>
      <c r="O11" s="172"/>
      <c r="P11" s="170"/>
      <c r="Q11" s="171"/>
      <c r="R11" s="173" t="str">
        <f t="shared" si="1"/>
        <v>KSM</v>
      </c>
      <c r="S11" s="55" t="s">
        <v>316</v>
      </c>
      <c r="T11" s="6"/>
      <c r="U11" s="6"/>
    </row>
    <row r="12" spans="1:21" ht="13.5" customHeight="1">
      <c r="A12" s="50">
        <v>5</v>
      </c>
      <c r="B12" s="51">
        <v>2</v>
      </c>
      <c r="C12" s="51">
        <v>188</v>
      </c>
      <c r="D12" s="52" t="s">
        <v>317</v>
      </c>
      <c r="E12" s="53" t="s">
        <v>318</v>
      </c>
      <c r="F12" s="54" t="s">
        <v>319</v>
      </c>
      <c r="G12" s="55" t="s">
        <v>43</v>
      </c>
      <c r="H12" s="55" t="s">
        <v>148</v>
      </c>
      <c r="I12" s="55" t="s">
        <v>320</v>
      </c>
      <c r="J12" s="55" t="s">
        <v>147</v>
      </c>
      <c r="K12" s="168">
        <f t="shared" si="0"/>
        <v>844</v>
      </c>
      <c r="L12" s="169">
        <v>15.43</v>
      </c>
      <c r="M12" s="170">
        <v>0.5</v>
      </c>
      <c r="N12" s="171" t="s">
        <v>300</v>
      </c>
      <c r="O12" s="172"/>
      <c r="P12" s="170"/>
      <c r="Q12" s="171"/>
      <c r="R12" s="173" t="str">
        <f t="shared" si="1"/>
        <v>I A</v>
      </c>
      <c r="S12" s="55" t="s">
        <v>321</v>
      </c>
      <c r="T12" s="6"/>
      <c r="U12" s="6"/>
    </row>
    <row r="13" spans="1:21" ht="13.5" customHeight="1">
      <c r="A13" s="50">
        <v>6</v>
      </c>
      <c r="B13" s="51"/>
      <c r="C13" s="51">
        <v>72</v>
      </c>
      <c r="D13" s="52" t="s">
        <v>322</v>
      </c>
      <c r="E13" s="53" t="s">
        <v>323</v>
      </c>
      <c r="F13" s="54" t="s">
        <v>324</v>
      </c>
      <c r="G13" s="55" t="s">
        <v>132</v>
      </c>
      <c r="H13" s="55" t="s">
        <v>131</v>
      </c>
      <c r="I13" s="55" t="s">
        <v>223</v>
      </c>
      <c r="J13" s="55"/>
      <c r="K13" s="168">
        <f t="shared" si="0"/>
        <v>785</v>
      </c>
      <c r="L13" s="169">
        <v>15.95</v>
      </c>
      <c r="M13" s="170">
        <v>0.5</v>
      </c>
      <c r="N13" s="171" t="s">
        <v>300</v>
      </c>
      <c r="O13" s="172"/>
      <c r="P13" s="170"/>
      <c r="Q13" s="171"/>
      <c r="R13" s="173" t="str">
        <f t="shared" si="1"/>
        <v>I A</v>
      </c>
      <c r="S13" s="55" t="s">
        <v>325</v>
      </c>
      <c r="T13" s="6"/>
      <c r="U13" s="6"/>
    </row>
    <row r="14" spans="1:21" ht="13.5" customHeight="1">
      <c r="A14" s="50"/>
      <c r="B14" s="51"/>
      <c r="C14" s="51">
        <v>83</v>
      </c>
      <c r="D14" s="52" t="s">
        <v>326</v>
      </c>
      <c r="E14" s="53" t="s">
        <v>327</v>
      </c>
      <c r="F14" s="54" t="s">
        <v>328</v>
      </c>
      <c r="G14" s="55" t="s">
        <v>132</v>
      </c>
      <c r="H14" s="55" t="s">
        <v>131</v>
      </c>
      <c r="I14" s="55" t="s">
        <v>172</v>
      </c>
      <c r="J14" s="55"/>
      <c r="K14" s="168"/>
      <c r="L14" s="169" t="s">
        <v>329</v>
      </c>
      <c r="M14" s="170">
        <v>0.5</v>
      </c>
      <c r="N14" s="171" t="s">
        <v>300</v>
      </c>
      <c r="O14" s="172"/>
      <c r="P14" s="170"/>
      <c r="Q14" s="171"/>
      <c r="R14" s="173">
        <f t="shared" si="1"/>
      </c>
      <c r="S14" s="55" t="s">
        <v>330</v>
      </c>
      <c r="T14" s="6"/>
      <c r="U14" s="6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9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4.00390625" style="28" hidden="1" customWidth="1"/>
    <col min="3" max="3" width="5.00390625" style="28" customWidth="1"/>
    <col min="4" max="4" width="9.421875" style="23" customWidth="1"/>
    <col min="5" max="5" width="11.7109375" style="24" customWidth="1"/>
    <col min="6" max="6" width="9.28125" style="25" customWidth="1"/>
    <col min="7" max="7" width="10.8515625" style="24" bestFit="1" customWidth="1"/>
    <col min="8" max="8" width="8.28125" style="24" customWidth="1"/>
    <col min="9" max="9" width="7.57421875" style="24" bestFit="1" customWidth="1"/>
    <col min="10" max="10" width="5.140625" style="24" bestFit="1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hidden="1" customWidth="1"/>
    <col min="16" max="16" width="4.00390625" style="26" hidden="1" customWidth="1"/>
    <col min="17" max="17" width="4.7109375" style="26" hidden="1" customWidth="1"/>
    <col min="18" max="18" width="4.421875" style="6" customWidth="1"/>
    <col min="19" max="19" width="24.57421875" style="24" customWidth="1"/>
    <col min="20" max="20" width="5.8515625" style="265" hidden="1" customWidth="1"/>
    <col min="21" max="21" width="6.28125" style="265" hidden="1" customWidth="1"/>
    <col min="22" max="23" width="2.00390625" style="24" hidden="1" customWidth="1"/>
    <col min="24" max="16384" width="9.140625" style="24" customWidth="1"/>
  </cols>
  <sheetData>
    <row r="1" spans="1:21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265"/>
      <c r="U1" s="265"/>
    </row>
    <row r="2" spans="1:21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64"/>
      <c r="U2" s="64"/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1199</v>
      </c>
      <c r="F4" s="30"/>
      <c r="S4" s="31"/>
    </row>
    <row r="5" ht="3.75" customHeight="1"/>
    <row r="6" spans="3:8" ht="13.5" thickBot="1">
      <c r="C6" s="33"/>
      <c r="D6" s="34"/>
      <c r="E6" s="35">
        <v>1</v>
      </c>
      <c r="F6" s="36" t="s">
        <v>332</v>
      </c>
      <c r="G6" s="37">
        <v>2</v>
      </c>
      <c r="H6" s="38"/>
    </row>
    <row r="7" spans="1:21" s="49" customFormat="1" ht="13.5" thickBot="1">
      <c r="A7" s="39" t="s">
        <v>109</v>
      </c>
      <c r="B7" s="43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632</v>
      </c>
      <c r="M7" s="44" t="s">
        <v>293</v>
      </c>
      <c r="N7" s="44" t="s">
        <v>294</v>
      </c>
      <c r="O7" s="44" t="s">
        <v>111</v>
      </c>
      <c r="P7" s="44" t="s">
        <v>293</v>
      </c>
      <c r="Q7" s="44" t="s">
        <v>294</v>
      </c>
      <c r="R7" s="46" t="s">
        <v>14</v>
      </c>
      <c r="S7" s="47" t="s">
        <v>15</v>
      </c>
      <c r="T7" s="64" t="s">
        <v>18</v>
      </c>
      <c r="U7" s="64" t="s">
        <v>16</v>
      </c>
    </row>
    <row r="8" spans="1:23" ht="14.25">
      <c r="A8" s="50">
        <v>1</v>
      </c>
      <c r="B8" s="51"/>
      <c r="C8" s="51" t="s">
        <v>1200</v>
      </c>
      <c r="D8" s="52" t="s">
        <v>1201</v>
      </c>
      <c r="E8" s="53" t="s">
        <v>1202</v>
      </c>
      <c r="F8" s="54" t="s">
        <v>1203</v>
      </c>
      <c r="G8" s="55" t="s">
        <v>71</v>
      </c>
      <c r="H8" s="55" t="s">
        <v>72</v>
      </c>
      <c r="I8" s="55" t="s">
        <v>65</v>
      </c>
      <c r="J8" s="55"/>
      <c r="K8" s="197">
        <f>IF(ISBLANK(L8),"",TRUNC(7.66*((L8)-25.8)^2))</f>
        <v>1075</v>
      </c>
      <c r="L8" s="257">
        <v>13.95</v>
      </c>
      <c r="M8" s="170">
        <v>1.7</v>
      </c>
      <c r="N8" s="171" t="s">
        <v>300</v>
      </c>
      <c r="O8" s="171"/>
      <c r="P8" s="171"/>
      <c r="Q8" s="171"/>
      <c r="R8" s="58" t="str">
        <f>IF(ISBLANK(L8),"",IF(L8&gt;18.74,"",IF(L8&lt;=13.62,"TSM",IF(L8&lt;=14.35,"SM",IF(L8&lt;=15.15,"KSM",IF(L8&lt;=16,"I A",IF(L8&lt;=17.24,"II A",IF(L8&lt;=18.74,"III A"))))))))</f>
        <v>SM</v>
      </c>
      <c r="S8" s="55" t="s">
        <v>834</v>
      </c>
      <c r="T8" s="266" t="s">
        <v>1204</v>
      </c>
      <c r="U8" s="267">
        <v>14.1</v>
      </c>
      <c r="V8" s="24">
        <v>1</v>
      </c>
      <c r="W8" s="24">
        <v>5</v>
      </c>
    </row>
    <row r="9" spans="1:23" ht="13.5" customHeight="1">
      <c r="A9" s="50">
        <v>2</v>
      </c>
      <c r="B9" s="194"/>
      <c r="C9" s="51">
        <v>70</v>
      </c>
      <c r="D9" s="52" t="s">
        <v>634</v>
      </c>
      <c r="E9" s="53" t="s">
        <v>1205</v>
      </c>
      <c r="F9" s="54" t="s">
        <v>1206</v>
      </c>
      <c r="G9" s="55" t="s">
        <v>132</v>
      </c>
      <c r="H9" s="55"/>
      <c r="I9" s="55" t="s">
        <v>189</v>
      </c>
      <c r="J9" s="55" t="s">
        <v>287</v>
      </c>
      <c r="K9" s="197">
        <f>IF(ISBLANK(L9),"",TRUNC(7.66*((L9)-25.8)^2))</f>
        <v>911</v>
      </c>
      <c r="L9" s="257">
        <v>14.89</v>
      </c>
      <c r="M9" s="170">
        <v>1.7</v>
      </c>
      <c r="N9" s="171" t="s">
        <v>300</v>
      </c>
      <c r="O9" s="171"/>
      <c r="P9" s="171"/>
      <c r="Q9" s="171"/>
      <c r="R9" s="58" t="str">
        <f>IF(ISBLANK(L9),"",IF(L9&gt;18.74,"",IF(L9&lt;=13.62,"TSM",IF(L9&lt;=14.35,"SM",IF(L9&lt;=15.15,"KSM",IF(L9&lt;=16,"I A",IF(L9&lt;=17.24,"II A",IF(L9&lt;=18.74,"III A"))))))))</f>
        <v>KSM</v>
      </c>
      <c r="S9" s="55" t="s">
        <v>1207</v>
      </c>
      <c r="T9" s="266"/>
      <c r="V9" s="24">
        <v>1</v>
      </c>
      <c r="W9" s="24">
        <v>6</v>
      </c>
    </row>
    <row r="10" spans="1:23" ht="13.5" customHeight="1">
      <c r="A10" s="50">
        <v>3</v>
      </c>
      <c r="B10" s="51"/>
      <c r="C10" s="51">
        <v>82</v>
      </c>
      <c r="D10" s="52" t="s">
        <v>257</v>
      </c>
      <c r="E10" s="53" t="s">
        <v>1208</v>
      </c>
      <c r="F10" s="54" t="s">
        <v>1209</v>
      </c>
      <c r="G10" s="55" t="s">
        <v>132</v>
      </c>
      <c r="H10" s="55" t="s">
        <v>173</v>
      </c>
      <c r="I10" s="55" t="s">
        <v>172</v>
      </c>
      <c r="J10" s="55"/>
      <c r="K10" s="197">
        <f>IF(ISBLANK(L10),"",TRUNC(7.66*((L10)-25.8)^2))</f>
        <v>901</v>
      </c>
      <c r="L10" s="257">
        <v>14.95</v>
      </c>
      <c r="M10" s="170">
        <v>1.7</v>
      </c>
      <c r="N10" s="171" t="s">
        <v>300</v>
      </c>
      <c r="O10" s="171"/>
      <c r="P10" s="171"/>
      <c r="Q10" s="171"/>
      <c r="R10" s="58" t="str">
        <f>IF(ISBLANK(L10),"",IF(L10&gt;18.74,"",IF(L10&lt;=13.62,"TSM",IF(L10&lt;=14.35,"SM",IF(L10&lt;=15.15,"KSM",IF(L10&lt;=16,"I A",IF(L10&lt;=17.24,"II A",IF(L10&lt;=18.74,"III A"))))))))</f>
        <v>KSM</v>
      </c>
      <c r="S10" s="55" t="s">
        <v>1210</v>
      </c>
      <c r="T10" s="266"/>
      <c r="V10" s="24">
        <v>1</v>
      </c>
      <c r="W10" s="24">
        <v>7</v>
      </c>
    </row>
    <row r="11" spans="1:23" ht="13.5" customHeight="1">
      <c r="A11" s="50">
        <v>4</v>
      </c>
      <c r="B11" s="194"/>
      <c r="C11" s="51" t="s">
        <v>1211</v>
      </c>
      <c r="D11" s="52" t="s">
        <v>478</v>
      </c>
      <c r="E11" s="53" t="s">
        <v>1212</v>
      </c>
      <c r="F11" s="54" t="s">
        <v>1213</v>
      </c>
      <c r="G11" s="55" t="s">
        <v>83</v>
      </c>
      <c r="H11" s="55" t="s">
        <v>1008</v>
      </c>
      <c r="I11" s="55" t="s">
        <v>164</v>
      </c>
      <c r="J11" s="55" t="s">
        <v>287</v>
      </c>
      <c r="K11" s="197">
        <f>IF(ISBLANK(L11),"",TRUNC(7.66*((L11)-25.8)^2))</f>
        <v>890</v>
      </c>
      <c r="L11" s="257">
        <v>15.02</v>
      </c>
      <c r="M11" s="170">
        <v>1.7</v>
      </c>
      <c r="N11" s="171" t="s">
        <v>300</v>
      </c>
      <c r="O11" s="171"/>
      <c r="P11" s="171"/>
      <c r="Q11" s="171"/>
      <c r="R11" s="58" t="str">
        <f>IF(ISBLANK(L11),"",IF(L11&gt;18.74,"",IF(L11&lt;=13.62,"TSM",IF(L11&lt;=14.35,"SM",IF(L11&lt;=15.15,"KSM",IF(L11&lt;=16,"I A",IF(L11&lt;=17.24,"II A",IF(L11&lt;=18.74,"III A"))))))))</f>
        <v>KSM</v>
      </c>
      <c r="S11" s="55" t="s">
        <v>316</v>
      </c>
      <c r="T11" s="266" t="s">
        <v>1214</v>
      </c>
      <c r="V11" s="24">
        <v>1</v>
      </c>
      <c r="W11" s="24">
        <v>4</v>
      </c>
    </row>
    <row r="12" spans="1:23" ht="13.5" customHeight="1">
      <c r="A12" s="50">
        <v>5</v>
      </c>
      <c r="B12" s="194"/>
      <c r="C12" s="51" t="s">
        <v>1215</v>
      </c>
      <c r="D12" s="52" t="s">
        <v>1216</v>
      </c>
      <c r="E12" s="53" t="s">
        <v>1217</v>
      </c>
      <c r="F12" s="54" t="s">
        <v>791</v>
      </c>
      <c r="G12" s="55" t="s">
        <v>71</v>
      </c>
      <c r="H12" s="55" t="s">
        <v>72</v>
      </c>
      <c r="I12" s="55" t="s">
        <v>770</v>
      </c>
      <c r="J12" s="55" t="s">
        <v>23</v>
      </c>
      <c r="K12" s="197">
        <f>IF(ISBLANK(L12),"",TRUNC(7.66*((L12)-25.8)^2))</f>
        <v>803</v>
      </c>
      <c r="L12" s="257">
        <v>15.56</v>
      </c>
      <c r="M12" s="170">
        <v>1.7</v>
      </c>
      <c r="N12" s="171" t="s">
        <v>300</v>
      </c>
      <c r="O12" s="171"/>
      <c r="P12" s="171"/>
      <c r="Q12" s="171"/>
      <c r="R12" s="58" t="str">
        <f>IF(ISBLANK(L12),"",IF(L12&gt;18.74,"",IF(L12&lt;=13.62,"TSM",IF(L12&lt;=14.35,"SM",IF(L12&lt;=15.15,"KSM",IF(L12&lt;=16,"I A",IF(L12&lt;=17.24,"II A",IF(L12&lt;=18.74,"III A"))))))))</f>
        <v>I A</v>
      </c>
      <c r="S12" s="55" t="s">
        <v>1218</v>
      </c>
      <c r="T12" s="266" t="s">
        <v>1219</v>
      </c>
      <c r="V12" s="24">
        <v>1</v>
      </c>
      <c r="W12" s="24">
        <v>3</v>
      </c>
    </row>
    <row r="13" ht="3.75" customHeight="1"/>
    <row r="14" spans="3:8" ht="13.5" thickBot="1">
      <c r="C14" s="33"/>
      <c r="D14" s="34"/>
      <c r="E14" s="35">
        <v>2</v>
      </c>
      <c r="F14" s="36" t="s">
        <v>332</v>
      </c>
      <c r="G14" s="37">
        <v>2</v>
      </c>
      <c r="H14" s="38"/>
    </row>
    <row r="15" spans="1:21" s="49" customFormat="1" ht="13.5" thickBot="1">
      <c r="A15" s="39" t="s">
        <v>109</v>
      </c>
      <c r="B15" s="43" t="s">
        <v>17</v>
      </c>
      <c r="C15" s="40" t="s">
        <v>4</v>
      </c>
      <c r="D15" s="41" t="s">
        <v>5</v>
      </c>
      <c r="E15" s="42" t="s">
        <v>6</v>
      </c>
      <c r="F15" s="43" t="s">
        <v>7</v>
      </c>
      <c r="G15" s="44" t="s">
        <v>8</v>
      </c>
      <c r="H15" s="44" t="s">
        <v>9</v>
      </c>
      <c r="I15" s="44" t="s">
        <v>10</v>
      </c>
      <c r="J15" s="44" t="s">
        <v>11</v>
      </c>
      <c r="K15" s="43" t="s">
        <v>12</v>
      </c>
      <c r="L15" s="45" t="s">
        <v>632</v>
      </c>
      <c r="M15" s="44" t="s">
        <v>293</v>
      </c>
      <c r="N15" s="44" t="s">
        <v>294</v>
      </c>
      <c r="O15" s="44" t="s">
        <v>111</v>
      </c>
      <c r="P15" s="44" t="s">
        <v>293</v>
      </c>
      <c r="Q15" s="44" t="s">
        <v>294</v>
      </c>
      <c r="R15" s="46" t="s">
        <v>14</v>
      </c>
      <c r="S15" s="47" t="s">
        <v>15</v>
      </c>
      <c r="T15" s="64" t="s">
        <v>18</v>
      </c>
      <c r="U15" s="64" t="s">
        <v>16</v>
      </c>
    </row>
    <row r="16" spans="1:23" ht="14.25">
      <c r="A16" s="50">
        <v>1</v>
      </c>
      <c r="B16" s="51"/>
      <c r="C16" s="51">
        <v>185</v>
      </c>
      <c r="D16" s="52" t="s">
        <v>592</v>
      </c>
      <c r="E16" s="53" t="s">
        <v>684</v>
      </c>
      <c r="F16" s="54" t="s">
        <v>685</v>
      </c>
      <c r="G16" s="55" t="s">
        <v>43</v>
      </c>
      <c r="H16" s="55" t="s">
        <v>148</v>
      </c>
      <c r="I16" s="55" t="s">
        <v>320</v>
      </c>
      <c r="J16" s="55"/>
      <c r="K16" s="197">
        <f>IF(ISBLANK(L16),"",TRUNC(7.66*((L16)-25.8)^2))</f>
        <v>988</v>
      </c>
      <c r="L16" s="257">
        <v>14.44</v>
      </c>
      <c r="M16" s="170">
        <v>-2</v>
      </c>
      <c r="N16" s="171">
        <v>0.164</v>
      </c>
      <c r="O16" s="171"/>
      <c r="P16" s="171"/>
      <c r="Q16" s="171"/>
      <c r="R16" s="58" t="str">
        <f>IF(ISBLANK(L16),"",IF(L16&gt;18.74,"",IF(L16&lt;=13.62,"TSM",IF(L16&lt;=14.35,"SM",IF(L16&lt;=15.15,"KSM",IF(L16&lt;=16,"I A",IF(L16&lt;=17.24,"II A",IF(L16&lt;=18.74,"III A"))))))))</f>
        <v>KSM</v>
      </c>
      <c r="S16" s="55" t="s">
        <v>321</v>
      </c>
      <c r="T16" s="268" t="s">
        <v>1220</v>
      </c>
      <c r="U16" s="265">
        <v>14.76</v>
      </c>
      <c r="V16" s="24">
        <v>2</v>
      </c>
      <c r="W16" s="24">
        <v>5</v>
      </c>
    </row>
    <row r="17" spans="1:23" ht="14.25">
      <c r="A17" s="50">
        <v>2</v>
      </c>
      <c r="B17" s="51"/>
      <c r="C17" s="51" t="s">
        <v>1221</v>
      </c>
      <c r="D17" s="52" t="s">
        <v>1222</v>
      </c>
      <c r="E17" s="53" t="s">
        <v>1223</v>
      </c>
      <c r="F17" s="54" t="s">
        <v>1224</v>
      </c>
      <c r="G17" s="55" t="s">
        <v>546</v>
      </c>
      <c r="H17" s="55" t="s">
        <v>141</v>
      </c>
      <c r="I17" s="55" t="s">
        <v>547</v>
      </c>
      <c r="J17" s="55"/>
      <c r="K17" s="197">
        <f>IF(ISBLANK(L17),"",TRUNC(7.66*((L17)-25.8)^2))</f>
        <v>747</v>
      </c>
      <c r="L17" s="257">
        <v>15.92</v>
      </c>
      <c r="M17" s="170">
        <v>-2</v>
      </c>
      <c r="N17" s="171">
        <v>0.146</v>
      </c>
      <c r="O17" s="171"/>
      <c r="P17" s="171"/>
      <c r="Q17" s="171"/>
      <c r="R17" s="58" t="str">
        <f>IF(ISBLANK(L17),"",IF(L17&gt;18.74,"",IF(L17&lt;=13.62,"TSM",IF(L17&lt;=14.35,"SM",IF(L17&lt;=15.15,"KSM",IF(L17&lt;=16,"I A",IF(L17&lt;=17.24,"II A",IF(L17&lt;=18.74,"III A"))))))))</f>
        <v>I A</v>
      </c>
      <c r="S17" s="55" t="s">
        <v>548</v>
      </c>
      <c r="T17" s="266"/>
      <c r="U17" s="265" t="s">
        <v>1225</v>
      </c>
      <c r="V17" s="24">
        <v>2</v>
      </c>
      <c r="W17" s="24">
        <v>3</v>
      </c>
    </row>
    <row r="18" spans="1:23" ht="13.5" customHeight="1">
      <c r="A18" s="50"/>
      <c r="B18" s="194"/>
      <c r="C18" s="51" t="s">
        <v>1226</v>
      </c>
      <c r="D18" s="52" t="s">
        <v>492</v>
      </c>
      <c r="E18" s="53" t="s">
        <v>1227</v>
      </c>
      <c r="F18" s="54" t="s">
        <v>1228</v>
      </c>
      <c r="G18" s="55" t="s">
        <v>1072</v>
      </c>
      <c r="H18" s="55"/>
      <c r="I18" s="55" t="s">
        <v>189</v>
      </c>
      <c r="J18" s="55" t="s">
        <v>85</v>
      </c>
      <c r="K18" s="197"/>
      <c r="L18" s="257" t="s">
        <v>329</v>
      </c>
      <c r="M18" s="170"/>
      <c r="N18" s="171"/>
      <c r="O18" s="171"/>
      <c r="P18" s="171"/>
      <c r="Q18" s="171"/>
      <c r="R18" s="58">
        <f>IF(ISBLANK(L18),"",IF(L18&gt;18.74,"",IF(L18&lt;=13.62,"TSM",IF(L18&lt;=14.35,"SM",IF(L18&lt;=15.15,"KSM",IF(L18&lt;=16,"I A",IF(L18&lt;=17.24,"II A",IF(L18&lt;=18.74,"III A"))))))))</f>
      </c>
      <c r="S18" s="55" t="s">
        <v>1229</v>
      </c>
      <c r="T18" s="266" t="s">
        <v>1230</v>
      </c>
      <c r="U18" s="265">
        <v>14.56</v>
      </c>
      <c r="V18" s="24">
        <v>2</v>
      </c>
      <c r="W18" s="24">
        <v>4</v>
      </c>
    </row>
    <row r="19" spans="1:23" ht="13.5" customHeight="1">
      <c r="A19" s="50"/>
      <c r="B19" s="194"/>
      <c r="C19" s="51" t="s">
        <v>1231</v>
      </c>
      <c r="D19" s="52" t="s">
        <v>60</v>
      </c>
      <c r="E19" s="53" t="s">
        <v>1232</v>
      </c>
      <c r="F19" s="54" t="s">
        <v>1233</v>
      </c>
      <c r="G19" s="55" t="s">
        <v>83</v>
      </c>
      <c r="H19" s="55"/>
      <c r="I19" s="55"/>
      <c r="J19" s="55" t="s">
        <v>85</v>
      </c>
      <c r="K19" s="197"/>
      <c r="L19" s="257" t="s">
        <v>329</v>
      </c>
      <c r="M19" s="170"/>
      <c r="N19" s="171"/>
      <c r="O19" s="171"/>
      <c r="P19" s="171"/>
      <c r="Q19" s="171"/>
      <c r="R19" s="58">
        <f>IF(ISBLANK(L19),"",IF(L19&gt;18.74,"",IF(L19&lt;=13.62,"TSM",IF(L19&lt;=14.35,"SM",IF(L19&lt;=15.15,"KSM",IF(L19&lt;=16,"I A",IF(L19&lt;=17.24,"II A",IF(L19&lt;=18.74,"III A"))))))))</f>
      </c>
      <c r="S19" s="55" t="s">
        <v>1234</v>
      </c>
      <c r="T19" s="266"/>
      <c r="U19" s="265" t="s">
        <v>1235</v>
      </c>
      <c r="V19" s="24">
        <v>2</v>
      </c>
      <c r="W19" s="24">
        <v>6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X18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4.00390625" style="28" customWidth="1"/>
    <col min="3" max="3" width="5.00390625" style="28" hidden="1" customWidth="1"/>
    <col min="4" max="4" width="9.421875" style="23" customWidth="1"/>
    <col min="5" max="5" width="11.7109375" style="24" customWidth="1"/>
    <col min="6" max="6" width="9.28125" style="25" customWidth="1"/>
    <col min="7" max="7" width="10.8515625" style="24" bestFit="1" customWidth="1"/>
    <col min="8" max="8" width="8.28125" style="24" customWidth="1"/>
    <col min="9" max="9" width="7.57421875" style="24" bestFit="1" customWidth="1"/>
    <col min="10" max="10" width="5.140625" style="24" bestFit="1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customWidth="1"/>
    <col min="16" max="16" width="5.140625" style="26" bestFit="1" customWidth="1"/>
    <col min="17" max="17" width="4.7109375" style="26" hidden="1" customWidth="1"/>
    <col min="18" max="18" width="4.421875" style="6" customWidth="1"/>
    <col min="19" max="19" width="24.57421875" style="24" customWidth="1"/>
    <col min="20" max="20" width="5.8515625" style="265" hidden="1" customWidth="1"/>
    <col min="21" max="21" width="6.28125" style="265" hidden="1" customWidth="1"/>
    <col min="22" max="23" width="2.00390625" style="24" hidden="1" customWidth="1"/>
    <col min="24" max="24" width="9.140625" style="10" customWidth="1"/>
    <col min="25" max="16384" width="9.140625" style="24" customWidth="1"/>
  </cols>
  <sheetData>
    <row r="1" spans="1:24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265"/>
      <c r="U1" s="265"/>
      <c r="X1" s="10"/>
    </row>
    <row r="2" spans="1:24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64"/>
      <c r="U2" s="64"/>
      <c r="X2" s="21"/>
    </row>
    <row r="3" spans="1:19" ht="15" customHeight="1">
      <c r="A3" s="22"/>
      <c r="B3" s="22"/>
      <c r="C3" s="22"/>
      <c r="S3" s="27" t="s">
        <v>1236</v>
      </c>
    </row>
    <row r="4" spans="4:24" ht="15.75" customHeight="1">
      <c r="D4" s="29" t="s">
        <v>1199</v>
      </c>
      <c r="F4" s="30"/>
      <c r="S4" s="31"/>
      <c r="X4" s="21"/>
    </row>
    <row r="5" ht="3.75" customHeight="1"/>
    <row r="6" spans="3:24" ht="13.5" thickBot="1">
      <c r="C6" s="33"/>
      <c r="D6" s="34"/>
      <c r="E6" s="35"/>
      <c r="F6" s="36"/>
      <c r="G6" s="37" t="s">
        <v>111</v>
      </c>
      <c r="H6" s="38"/>
      <c r="X6" s="21"/>
    </row>
    <row r="7" spans="1:24" s="49" customFormat="1" ht="13.5" thickBot="1">
      <c r="A7" s="39" t="s">
        <v>109</v>
      </c>
      <c r="B7" s="43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632</v>
      </c>
      <c r="M7" s="44" t="s">
        <v>293</v>
      </c>
      <c r="N7" s="44" t="s">
        <v>294</v>
      </c>
      <c r="O7" s="44" t="s">
        <v>111</v>
      </c>
      <c r="P7" s="44" t="s">
        <v>293</v>
      </c>
      <c r="Q7" s="44" t="s">
        <v>294</v>
      </c>
      <c r="R7" s="46" t="s">
        <v>14</v>
      </c>
      <c r="S7" s="47" t="s">
        <v>15</v>
      </c>
      <c r="T7" s="64" t="s">
        <v>18</v>
      </c>
      <c r="U7" s="64" t="s">
        <v>16</v>
      </c>
      <c r="X7" s="10"/>
    </row>
    <row r="8" spans="1:23" ht="13.5" customHeight="1">
      <c r="A8" s="50">
        <v>1</v>
      </c>
      <c r="B8" s="51"/>
      <c r="C8" s="51" t="s">
        <v>1200</v>
      </c>
      <c r="D8" s="52" t="s">
        <v>1201</v>
      </c>
      <c r="E8" s="53" t="s">
        <v>1202</v>
      </c>
      <c r="F8" s="54" t="s">
        <v>1203</v>
      </c>
      <c r="G8" s="55" t="s">
        <v>71</v>
      </c>
      <c r="H8" s="55" t="s">
        <v>72</v>
      </c>
      <c r="I8" s="55" t="s">
        <v>65</v>
      </c>
      <c r="J8" s="55"/>
      <c r="K8" s="197">
        <f>IF(ISBLANK(L8),"",TRUNC(7.66*((L8)-25.8)^2))</f>
        <v>1075</v>
      </c>
      <c r="L8" s="257">
        <v>13.95</v>
      </c>
      <c r="M8" s="170">
        <v>1.7</v>
      </c>
      <c r="N8" s="171" t="s">
        <v>300</v>
      </c>
      <c r="O8" s="269">
        <v>14.02</v>
      </c>
      <c r="P8" s="170">
        <v>-1.1</v>
      </c>
      <c r="Q8" s="171"/>
      <c r="R8" s="58" t="str">
        <f>IF(ISBLANK(L8),"",IF(L8&gt;18.74,"",IF(L8&lt;=13.62,"TSM",IF(L8&lt;=14.35,"SM",IF(L8&lt;=15.15,"KSM",IF(L8&lt;=16,"I A",IF(L8&lt;=17.24,"II A",IF(L8&lt;=18.74,"III A"))))))))</f>
        <v>SM</v>
      </c>
      <c r="S8" s="55" t="s">
        <v>834</v>
      </c>
      <c r="T8" s="266" t="s">
        <v>1204</v>
      </c>
      <c r="U8" s="267">
        <v>14.1</v>
      </c>
      <c r="V8" s="24">
        <v>1</v>
      </c>
      <c r="W8" s="24">
        <v>5</v>
      </c>
    </row>
    <row r="9" spans="1:24" ht="13.5" customHeight="1">
      <c r="A9" s="50">
        <v>2</v>
      </c>
      <c r="B9" s="51">
        <v>1</v>
      </c>
      <c r="C9" s="51">
        <v>70</v>
      </c>
      <c r="D9" s="52" t="s">
        <v>634</v>
      </c>
      <c r="E9" s="53" t="s">
        <v>1205</v>
      </c>
      <c r="F9" s="54" t="s">
        <v>1206</v>
      </c>
      <c r="G9" s="55" t="s">
        <v>132</v>
      </c>
      <c r="H9" s="55"/>
      <c r="I9" s="55" t="s">
        <v>189</v>
      </c>
      <c r="J9" s="55" t="s">
        <v>287</v>
      </c>
      <c r="K9" s="197">
        <f>IF(ISBLANK(L9),"",TRUNC(7.66*((L9)-25.8)^2))</f>
        <v>911</v>
      </c>
      <c r="L9" s="257">
        <v>14.89</v>
      </c>
      <c r="M9" s="170">
        <v>1.7</v>
      </c>
      <c r="N9" s="171" t="s">
        <v>300</v>
      </c>
      <c r="O9" s="269">
        <v>15.02</v>
      </c>
      <c r="P9" s="170">
        <v>-1.1</v>
      </c>
      <c r="Q9" s="171"/>
      <c r="R9" s="58" t="str">
        <f>IF(ISBLANK(L9),"",IF(L9&gt;18.74,"",IF(L9&lt;=13.62,"TSM",IF(L9&lt;=14.35,"SM",IF(L9&lt;=15.15,"KSM",IF(L9&lt;=16,"I A",IF(L9&lt;=17.24,"II A",IF(L9&lt;=18.74,"III A"))))))))</f>
        <v>KSM</v>
      </c>
      <c r="S9" s="55" t="s">
        <v>1207</v>
      </c>
      <c r="T9" s="266"/>
      <c r="V9" s="24">
        <v>1</v>
      </c>
      <c r="W9" s="24">
        <v>6</v>
      </c>
      <c r="X9" s="21"/>
    </row>
    <row r="10" spans="1:24" ht="13.5" customHeight="1">
      <c r="A10" s="50">
        <v>3</v>
      </c>
      <c r="B10" s="51">
        <v>2</v>
      </c>
      <c r="C10" s="51" t="s">
        <v>1211</v>
      </c>
      <c r="D10" s="52" t="s">
        <v>478</v>
      </c>
      <c r="E10" s="53" t="s">
        <v>1212</v>
      </c>
      <c r="F10" s="54" t="s">
        <v>1213</v>
      </c>
      <c r="G10" s="55" t="s">
        <v>83</v>
      </c>
      <c r="H10" s="55" t="s">
        <v>1008</v>
      </c>
      <c r="I10" s="55" t="s">
        <v>164</v>
      </c>
      <c r="J10" s="55" t="s">
        <v>287</v>
      </c>
      <c r="K10" s="197">
        <f>IF(ISBLANK(L10),"",TRUNC(7.66*((L10)-25.8)^2))</f>
        <v>890</v>
      </c>
      <c r="L10" s="257">
        <v>15.02</v>
      </c>
      <c r="M10" s="170">
        <v>1.7</v>
      </c>
      <c r="N10" s="171" t="s">
        <v>300</v>
      </c>
      <c r="O10" s="269">
        <v>15.11</v>
      </c>
      <c r="P10" s="170">
        <v>-1.1</v>
      </c>
      <c r="Q10" s="171"/>
      <c r="R10" s="58" t="str">
        <f>IF(ISBLANK(L10),"",IF(L10&gt;18.74,"",IF(L10&lt;=13.62,"TSM",IF(L10&lt;=14.35,"SM",IF(L10&lt;=15.15,"KSM",IF(L10&lt;=16,"I A",IF(L10&lt;=17.24,"II A",IF(L10&lt;=18.74,"III A"))))))))</f>
        <v>KSM</v>
      </c>
      <c r="S10" s="55" t="s">
        <v>316</v>
      </c>
      <c r="T10" s="266" t="s">
        <v>1214</v>
      </c>
      <c r="V10" s="24">
        <v>1</v>
      </c>
      <c r="W10" s="24">
        <v>4</v>
      </c>
      <c r="X10" s="21"/>
    </row>
    <row r="11" spans="1:23" ht="13.5" customHeight="1">
      <c r="A11" s="50">
        <v>4</v>
      </c>
      <c r="B11" s="51"/>
      <c r="C11" s="51">
        <v>82</v>
      </c>
      <c r="D11" s="52" t="s">
        <v>257</v>
      </c>
      <c r="E11" s="53" t="s">
        <v>1208</v>
      </c>
      <c r="F11" s="54" t="s">
        <v>1209</v>
      </c>
      <c r="G11" s="55" t="s">
        <v>132</v>
      </c>
      <c r="H11" s="55" t="s">
        <v>173</v>
      </c>
      <c r="I11" s="55" t="s">
        <v>172</v>
      </c>
      <c r="J11" s="55"/>
      <c r="K11" s="197">
        <f>IF(ISBLANK(L11),"",TRUNC(7.66*((L11)-25.8)^2))</f>
        <v>901</v>
      </c>
      <c r="L11" s="257">
        <v>14.95</v>
      </c>
      <c r="M11" s="170">
        <v>1.7</v>
      </c>
      <c r="N11" s="171" t="s">
        <v>300</v>
      </c>
      <c r="O11" s="269">
        <v>15.26</v>
      </c>
      <c r="P11" s="170">
        <v>-1.1</v>
      </c>
      <c r="Q11" s="171"/>
      <c r="R11" s="58" t="str">
        <f>IF(ISBLANK(L11),"",IF(L11&gt;18.74,"",IF(L11&lt;=13.62,"TSM",IF(L11&lt;=14.35,"SM",IF(L11&lt;=15.15,"KSM",IF(L11&lt;=16,"I A",IF(L11&lt;=17.24,"II A",IF(L11&lt;=18.74,"III A"))))))))</f>
        <v>KSM</v>
      </c>
      <c r="S11" s="55" t="s">
        <v>1210</v>
      </c>
      <c r="T11" s="266"/>
      <c r="V11" s="24">
        <v>1</v>
      </c>
      <c r="W11" s="24">
        <v>7</v>
      </c>
    </row>
    <row r="12" spans="1:23" ht="13.5" customHeight="1">
      <c r="A12" s="50">
        <v>5</v>
      </c>
      <c r="B12" s="51">
        <v>3</v>
      </c>
      <c r="C12" s="51" t="s">
        <v>1215</v>
      </c>
      <c r="D12" s="52" t="s">
        <v>1216</v>
      </c>
      <c r="E12" s="53" t="s">
        <v>1217</v>
      </c>
      <c r="F12" s="54" t="s">
        <v>791</v>
      </c>
      <c r="G12" s="55" t="s">
        <v>71</v>
      </c>
      <c r="H12" s="55" t="s">
        <v>72</v>
      </c>
      <c r="I12" s="55" t="s">
        <v>770</v>
      </c>
      <c r="J12" s="55" t="s">
        <v>23</v>
      </c>
      <c r="K12" s="197">
        <f>IF(ISBLANK(O12),"",TRUNC(7.66*((O12)-25.8)^2))</f>
        <v>831</v>
      </c>
      <c r="L12" s="258">
        <v>15.56</v>
      </c>
      <c r="M12" s="170">
        <v>1.7</v>
      </c>
      <c r="N12" s="171" t="s">
        <v>300</v>
      </c>
      <c r="O12" s="270">
        <v>15.38</v>
      </c>
      <c r="P12" s="170">
        <v>-1.1</v>
      </c>
      <c r="Q12" s="171"/>
      <c r="R12" s="58" t="str">
        <f>IF(ISBLANK(O12),"",IF(O12&gt;18.74,"",IF(O12&lt;=13.62,"TSM",IF(O12&lt;=14.35,"SM",IF(O12&lt;=15.15,"KSM",IF(O12&lt;=16,"I A",IF(O12&lt;=17.24,"II A",IF(O12&lt;=18.74,"III A"))))))))</f>
        <v>I A</v>
      </c>
      <c r="S12" s="55" t="s">
        <v>1218</v>
      </c>
      <c r="T12" s="266" t="s">
        <v>1219</v>
      </c>
      <c r="V12" s="24">
        <v>1</v>
      </c>
      <c r="W12" s="24">
        <v>3</v>
      </c>
    </row>
    <row r="13" spans="1:23" ht="13.5" customHeight="1">
      <c r="A13" s="50">
        <v>6</v>
      </c>
      <c r="B13" s="51">
        <v>4</v>
      </c>
      <c r="C13" s="51" t="s">
        <v>1221</v>
      </c>
      <c r="D13" s="52" t="s">
        <v>1222</v>
      </c>
      <c r="E13" s="53" t="s">
        <v>1223</v>
      </c>
      <c r="F13" s="54" t="s">
        <v>1224</v>
      </c>
      <c r="G13" s="55" t="s">
        <v>546</v>
      </c>
      <c r="H13" s="55" t="s">
        <v>141</v>
      </c>
      <c r="I13" s="55" t="s">
        <v>547</v>
      </c>
      <c r="J13" s="55"/>
      <c r="K13" s="197">
        <f>IF(ISBLANK(O13),"",TRUNC(7.66*((O13)-25.8)^2))</f>
        <v>811</v>
      </c>
      <c r="L13" s="258">
        <v>15.92</v>
      </c>
      <c r="M13" s="170">
        <v>-2</v>
      </c>
      <c r="N13" s="171">
        <v>0.146</v>
      </c>
      <c r="O13" s="270">
        <v>15.51</v>
      </c>
      <c r="P13" s="170">
        <v>-1.1</v>
      </c>
      <c r="Q13" s="171"/>
      <c r="R13" s="58" t="str">
        <f>IF(ISBLANK(O13),"",IF(O13&gt;18.74,"",IF(O13&lt;=13.62,"TSM",IF(O13&lt;=14.35,"SM",IF(O13&lt;=15.15,"KSM",IF(O13&lt;=16,"I A",IF(O13&lt;=17.24,"II A",IF(O13&lt;=18.74,"III A"))))))))</f>
        <v>I A</v>
      </c>
      <c r="S13" s="55" t="s">
        <v>548</v>
      </c>
      <c r="T13" s="266"/>
      <c r="U13" s="265" t="s">
        <v>1225</v>
      </c>
      <c r="V13" s="24">
        <v>2</v>
      </c>
      <c r="W13" s="24">
        <v>3</v>
      </c>
    </row>
    <row r="14" spans="1:24" ht="13.5" customHeight="1">
      <c r="A14" s="50">
        <v>7</v>
      </c>
      <c r="B14" s="51"/>
      <c r="C14" s="51">
        <v>185</v>
      </c>
      <c r="D14" s="52" t="s">
        <v>592</v>
      </c>
      <c r="E14" s="53" t="s">
        <v>684</v>
      </c>
      <c r="F14" s="54" t="s">
        <v>685</v>
      </c>
      <c r="G14" s="55" t="s">
        <v>43</v>
      </c>
      <c r="H14" s="55" t="s">
        <v>148</v>
      </c>
      <c r="I14" s="55" t="s">
        <v>320</v>
      </c>
      <c r="J14" s="55"/>
      <c r="K14" s="197">
        <f>IF(ISBLANK(L14),"",TRUNC(7.66*((L14)-25.8)^2))</f>
        <v>988</v>
      </c>
      <c r="L14" s="257">
        <v>14.44</v>
      </c>
      <c r="M14" s="170">
        <v>-2</v>
      </c>
      <c r="N14" s="171">
        <v>0.164</v>
      </c>
      <c r="O14" s="271" t="s">
        <v>329</v>
      </c>
      <c r="P14" s="170">
        <v>-1.1</v>
      </c>
      <c r="Q14" s="171"/>
      <c r="R14" s="58" t="str">
        <f>IF(ISBLANK(L14),"",IF(L14&gt;18.74,"",IF(L14&lt;=13.62,"TSM",IF(L14&lt;=14.35,"SM",IF(L14&lt;=15.15,"KSM",IF(L14&lt;=16,"I A",IF(L14&lt;=17.24,"II A",IF(L14&lt;=18.74,"III A"))))))))</f>
        <v>KSM</v>
      </c>
      <c r="S14" s="55" t="s">
        <v>321</v>
      </c>
      <c r="T14" s="268" t="s">
        <v>1220</v>
      </c>
      <c r="U14" s="265">
        <v>14.76</v>
      </c>
      <c r="V14" s="24">
        <v>2</v>
      </c>
      <c r="W14" s="24">
        <v>5</v>
      </c>
      <c r="X14" s="21"/>
    </row>
    <row r="15" ht="13.5" thickBot="1"/>
    <row r="16" spans="1:24" s="49" customFormat="1" ht="13.5" thickBot="1">
      <c r="A16" s="39" t="s">
        <v>109</v>
      </c>
      <c r="B16" s="43" t="s">
        <v>17</v>
      </c>
      <c r="C16" s="40" t="s">
        <v>4</v>
      </c>
      <c r="D16" s="41" t="s">
        <v>5</v>
      </c>
      <c r="E16" s="42" t="s">
        <v>6</v>
      </c>
      <c r="F16" s="43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3" t="s">
        <v>12</v>
      </c>
      <c r="L16" s="45" t="s">
        <v>632</v>
      </c>
      <c r="M16" s="44" t="s">
        <v>293</v>
      </c>
      <c r="N16" s="44" t="s">
        <v>294</v>
      </c>
      <c r="O16" s="44" t="s">
        <v>111</v>
      </c>
      <c r="P16" s="44" t="s">
        <v>293</v>
      </c>
      <c r="Q16" s="44" t="s">
        <v>294</v>
      </c>
      <c r="R16" s="46" t="s">
        <v>14</v>
      </c>
      <c r="S16" s="47" t="s">
        <v>15</v>
      </c>
      <c r="T16" s="64" t="s">
        <v>18</v>
      </c>
      <c r="U16" s="64" t="s">
        <v>16</v>
      </c>
      <c r="X16" s="10"/>
    </row>
    <row r="17" spans="1:23" ht="13.5" customHeight="1">
      <c r="A17" s="50"/>
      <c r="B17" s="51"/>
      <c r="C17" s="51" t="s">
        <v>1226</v>
      </c>
      <c r="D17" s="52" t="s">
        <v>492</v>
      </c>
      <c r="E17" s="53" t="s">
        <v>1227</v>
      </c>
      <c r="F17" s="54" t="s">
        <v>1228</v>
      </c>
      <c r="G17" s="55" t="s">
        <v>1072</v>
      </c>
      <c r="H17" s="55"/>
      <c r="I17" s="55" t="s">
        <v>189</v>
      </c>
      <c r="J17" s="55" t="s">
        <v>85</v>
      </c>
      <c r="K17" s="197"/>
      <c r="L17" s="257" t="s">
        <v>329</v>
      </c>
      <c r="M17" s="170"/>
      <c r="N17" s="171"/>
      <c r="O17" s="171"/>
      <c r="P17" s="171"/>
      <c r="Q17" s="171"/>
      <c r="R17" s="58">
        <f>IF(ISBLANK(L17),"",IF(L17&gt;18.74,"",IF(L17&lt;=13.62,"TSM",IF(L17&lt;=14.35,"SM",IF(L17&lt;=15.15,"KSM",IF(L17&lt;=16,"I A",IF(L17&lt;=17.24,"II A",IF(L17&lt;=18.74,"III A"))))))))</f>
      </c>
      <c r="S17" s="55" t="s">
        <v>1229</v>
      </c>
      <c r="T17" s="266" t="s">
        <v>1230</v>
      </c>
      <c r="U17" s="265">
        <v>14.56</v>
      </c>
      <c r="V17" s="24">
        <v>2</v>
      </c>
      <c r="W17" s="24">
        <v>4</v>
      </c>
    </row>
    <row r="18" spans="1:24" ht="13.5" customHeight="1">
      <c r="A18" s="50"/>
      <c r="B18" s="51"/>
      <c r="C18" s="51" t="s">
        <v>1231</v>
      </c>
      <c r="D18" s="52" t="s">
        <v>60</v>
      </c>
      <c r="E18" s="53" t="s">
        <v>1232</v>
      </c>
      <c r="F18" s="54" t="s">
        <v>1233</v>
      </c>
      <c r="G18" s="55" t="s">
        <v>83</v>
      </c>
      <c r="H18" s="55"/>
      <c r="I18" s="55"/>
      <c r="J18" s="55" t="s">
        <v>85</v>
      </c>
      <c r="K18" s="197"/>
      <c r="L18" s="257" t="s">
        <v>329</v>
      </c>
      <c r="M18" s="170"/>
      <c r="N18" s="171"/>
      <c r="O18" s="171"/>
      <c r="P18" s="171"/>
      <c r="Q18" s="171"/>
      <c r="R18" s="58">
        <f>IF(ISBLANK(L18),"",IF(L18&gt;18.74,"",IF(L18&lt;=13.62,"TSM",IF(L18&lt;=14.35,"SM",IF(L18&lt;=15.15,"KSM",IF(L18&lt;=16,"I A",IF(L18&lt;=17.24,"II A",IF(L18&lt;=18.74,"III A"))))))))</f>
      </c>
      <c r="S18" s="55" t="s">
        <v>1234</v>
      </c>
      <c r="T18" s="266"/>
      <c r="U18" s="265" t="s">
        <v>1235</v>
      </c>
      <c r="V18" s="24">
        <v>2</v>
      </c>
      <c r="W18" s="24">
        <v>6</v>
      </c>
      <c r="X18" s="21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5.00390625" style="277" customWidth="1"/>
    <col min="2" max="2" width="4.57421875" style="277" customWidth="1"/>
    <col min="3" max="3" width="5.00390625" style="277" hidden="1" customWidth="1"/>
    <col min="4" max="4" width="9.7109375" style="277" customWidth="1"/>
    <col min="5" max="5" width="14.140625" style="277" customWidth="1"/>
    <col min="6" max="6" width="9.8515625" style="277" customWidth="1"/>
    <col min="7" max="7" width="11.7109375" style="277" customWidth="1"/>
    <col min="8" max="8" width="7.7109375" style="277" customWidth="1"/>
    <col min="9" max="9" width="9.28125" style="277" customWidth="1"/>
    <col min="10" max="10" width="7.28125" style="277" customWidth="1"/>
    <col min="11" max="12" width="7.00390625" style="277" customWidth="1"/>
    <col min="13" max="13" width="6.421875" style="277" customWidth="1"/>
    <col min="14" max="14" width="5.7109375" style="277" customWidth="1"/>
    <col min="15" max="15" width="26.7109375" style="277" customWidth="1"/>
    <col min="16" max="16384" width="9.140625" style="277" customWidth="1"/>
  </cols>
  <sheetData>
    <row r="1" spans="1:18" s="4" customFormat="1" ht="18.75" customHeight="1">
      <c r="A1" s="66" t="s">
        <v>0</v>
      </c>
      <c r="B1" s="272"/>
      <c r="C1" s="2"/>
      <c r="D1" s="3"/>
      <c r="F1" s="5"/>
      <c r="L1" s="6"/>
      <c r="M1" s="7"/>
      <c r="N1" s="7"/>
      <c r="O1" s="7"/>
      <c r="P1" s="6"/>
      <c r="R1" s="8"/>
    </row>
    <row r="2" spans="1:18" s="14" customFormat="1" ht="22.5" customHeight="1">
      <c r="A2" s="273" t="s">
        <v>1</v>
      </c>
      <c r="B2" s="272"/>
      <c r="C2" s="12"/>
      <c r="D2" s="13"/>
      <c r="F2" s="15"/>
      <c r="L2" s="16"/>
      <c r="M2" s="17"/>
      <c r="N2" s="17"/>
      <c r="O2" s="18" t="s">
        <v>2</v>
      </c>
      <c r="P2" s="16"/>
      <c r="R2" s="19"/>
    </row>
    <row r="3" spans="1:18" s="24" customFormat="1" ht="15" customHeight="1">
      <c r="A3" s="22"/>
      <c r="B3" s="22"/>
      <c r="C3" s="22"/>
      <c r="D3" s="23"/>
      <c r="F3" s="25"/>
      <c r="L3" s="6"/>
      <c r="M3" s="26"/>
      <c r="N3" s="26"/>
      <c r="O3" s="27" t="s">
        <v>1236</v>
      </c>
      <c r="P3" s="6"/>
      <c r="R3" s="8"/>
    </row>
    <row r="4" spans="1:18" s="24" customFormat="1" ht="15.75" customHeight="1">
      <c r="A4" s="28"/>
      <c r="B4" s="28"/>
      <c r="C4" s="28"/>
      <c r="D4" s="29" t="s">
        <v>1237</v>
      </c>
      <c r="F4" s="30"/>
      <c r="L4" s="6"/>
      <c r="M4" s="26"/>
      <c r="N4" s="26"/>
      <c r="O4" s="26"/>
      <c r="P4" s="6"/>
      <c r="Q4" s="31"/>
      <c r="R4" s="8"/>
    </row>
    <row r="5" spans="1:4" s="275" customFormat="1" ht="9.75" customHeight="1">
      <c r="A5" s="274"/>
      <c r="B5" s="274"/>
      <c r="C5" s="274"/>
      <c r="D5" s="274"/>
    </row>
    <row r="6" spans="5:11" s="276" customFormat="1" ht="9.75" customHeight="1" thickBot="1">
      <c r="E6" s="277"/>
      <c r="J6" s="278"/>
      <c r="K6" s="278"/>
    </row>
    <row r="7" spans="1:15" s="298" customFormat="1" ht="37.5" customHeight="1">
      <c r="A7" s="289" t="s">
        <v>109</v>
      </c>
      <c r="B7" s="290" t="s">
        <v>1238</v>
      </c>
      <c r="C7" s="291" t="s">
        <v>4</v>
      </c>
      <c r="D7" s="292" t="s">
        <v>1239</v>
      </c>
      <c r="E7" s="293" t="s">
        <v>1240</v>
      </c>
      <c r="F7" s="294" t="s">
        <v>7</v>
      </c>
      <c r="G7" s="295"/>
      <c r="H7" s="295"/>
      <c r="I7" s="295"/>
      <c r="J7" s="295" t="s">
        <v>1241</v>
      </c>
      <c r="K7" s="296" t="s">
        <v>1242</v>
      </c>
      <c r="L7" s="296" t="s">
        <v>1243</v>
      </c>
      <c r="M7" s="296" t="s">
        <v>1244</v>
      </c>
      <c r="N7" s="295" t="s">
        <v>14</v>
      </c>
      <c r="O7" s="297" t="s">
        <v>15</v>
      </c>
    </row>
    <row r="8" spans="1:15" ht="15" customHeight="1">
      <c r="A8" s="310">
        <v>1</v>
      </c>
      <c r="B8" s="299">
        <v>1</v>
      </c>
      <c r="C8" s="279">
        <v>93</v>
      </c>
      <c r="D8" s="280" t="s">
        <v>307</v>
      </c>
      <c r="E8" s="281" t="s">
        <v>1245</v>
      </c>
      <c r="F8" s="282" t="s">
        <v>1011</v>
      </c>
      <c r="G8" s="283" t="s">
        <v>71</v>
      </c>
      <c r="H8" s="283"/>
      <c r="I8" s="283" t="s">
        <v>189</v>
      </c>
      <c r="J8" s="284"/>
      <c r="K8" s="285">
        <f>(979*2)/4</f>
        <v>489.5</v>
      </c>
      <c r="L8" s="197"/>
      <c r="M8" s="313">
        <v>47.86</v>
      </c>
      <c r="N8" s="310" t="s">
        <v>1266</v>
      </c>
      <c r="O8" s="286" t="s">
        <v>490</v>
      </c>
    </row>
    <row r="9" spans="1:15" ht="15" customHeight="1">
      <c r="A9" s="311"/>
      <c r="B9" s="299">
        <v>2</v>
      </c>
      <c r="C9" s="279">
        <v>138</v>
      </c>
      <c r="D9" s="280" t="s">
        <v>302</v>
      </c>
      <c r="E9" s="281" t="s">
        <v>303</v>
      </c>
      <c r="F9" s="282" t="s">
        <v>304</v>
      </c>
      <c r="G9" s="283" t="s">
        <v>83</v>
      </c>
      <c r="H9" s="283"/>
      <c r="I9" s="283" t="s">
        <v>65</v>
      </c>
      <c r="J9" s="284"/>
      <c r="K9" s="285">
        <f>(979*2)/4</f>
        <v>489.5</v>
      </c>
      <c r="L9" s="197">
        <f>IF(ISBLANK(M9),"",TRUNC(0.3895*(M9-98)^2))</f>
      </c>
      <c r="M9" s="314"/>
      <c r="N9" s="311"/>
      <c r="O9" s="287" t="s">
        <v>305</v>
      </c>
    </row>
    <row r="10" spans="1:15" ht="15" customHeight="1">
      <c r="A10" s="311"/>
      <c r="B10" s="299">
        <v>3</v>
      </c>
      <c r="C10" s="279" t="s">
        <v>976</v>
      </c>
      <c r="D10" s="280" t="s">
        <v>977</v>
      </c>
      <c r="E10" s="281" t="s">
        <v>978</v>
      </c>
      <c r="F10" s="282" t="s">
        <v>979</v>
      </c>
      <c r="G10" s="283" t="s">
        <v>71</v>
      </c>
      <c r="H10" s="283" t="s">
        <v>72</v>
      </c>
      <c r="I10" s="283" t="s">
        <v>65</v>
      </c>
      <c r="J10" s="284" t="s">
        <v>107</v>
      </c>
      <c r="K10" s="285">
        <f>(979*2)/4</f>
        <v>489.5</v>
      </c>
      <c r="L10" s="197">
        <f>IF(ISBLANK(M10),"",TRUNC(0.3895*(M10-98)^2))</f>
      </c>
      <c r="M10" s="314"/>
      <c r="N10" s="311"/>
      <c r="O10" s="287" t="s">
        <v>980</v>
      </c>
    </row>
    <row r="11" spans="1:15" ht="15" customHeight="1">
      <c r="A11" s="312"/>
      <c r="B11" s="299">
        <v>4</v>
      </c>
      <c r="C11" s="279" t="s">
        <v>1005</v>
      </c>
      <c r="D11" s="280" t="s">
        <v>891</v>
      </c>
      <c r="E11" s="281" t="s">
        <v>1006</v>
      </c>
      <c r="F11" s="282" t="s">
        <v>1007</v>
      </c>
      <c r="G11" s="283" t="s">
        <v>83</v>
      </c>
      <c r="H11" s="283" t="s">
        <v>237</v>
      </c>
      <c r="I11" s="283" t="s">
        <v>164</v>
      </c>
      <c r="J11" s="284"/>
      <c r="K11" s="285">
        <f>(979*2)/4</f>
        <v>489.5</v>
      </c>
      <c r="L11" s="197">
        <f>IF(ISBLANK(M11),"",TRUNC(0.3895*(M11-98)^2))</f>
      </c>
      <c r="M11" s="315"/>
      <c r="N11" s="312"/>
      <c r="O11" s="288" t="s">
        <v>316</v>
      </c>
    </row>
    <row r="12" spans="1:15" ht="15" customHeight="1">
      <c r="A12" s="310">
        <v>2</v>
      </c>
      <c r="B12" s="299">
        <v>1</v>
      </c>
      <c r="C12" s="279">
        <v>125</v>
      </c>
      <c r="D12" s="280" t="s">
        <v>878</v>
      </c>
      <c r="E12" s="281" t="s">
        <v>879</v>
      </c>
      <c r="F12" s="282" t="s">
        <v>880</v>
      </c>
      <c r="G12" s="283" t="s">
        <v>881</v>
      </c>
      <c r="H12" s="283" t="s">
        <v>72</v>
      </c>
      <c r="I12" s="283" t="s">
        <v>45</v>
      </c>
      <c r="J12" s="284" t="s">
        <v>107</v>
      </c>
      <c r="K12" s="285">
        <f>(853*2)/4</f>
        <v>426.5</v>
      </c>
      <c r="L12" s="56">
        <f>IF(ISBLANK(M12),"",TRUNC(0.3895*(M12-98)^2))</f>
        <v>853</v>
      </c>
      <c r="M12" s="313">
        <v>51.2</v>
      </c>
      <c r="N12" s="310" t="s">
        <v>1267</v>
      </c>
      <c r="O12" s="286" t="s">
        <v>1246</v>
      </c>
    </row>
    <row r="13" spans="1:15" ht="15" customHeight="1">
      <c r="A13" s="311"/>
      <c r="B13" s="299">
        <v>2</v>
      </c>
      <c r="C13" s="279">
        <v>102</v>
      </c>
      <c r="D13" s="280" t="s">
        <v>917</v>
      </c>
      <c r="E13" s="281" t="s">
        <v>918</v>
      </c>
      <c r="F13" s="282" t="s">
        <v>919</v>
      </c>
      <c r="G13" s="283" t="s">
        <v>71</v>
      </c>
      <c r="H13" s="283" t="s">
        <v>72</v>
      </c>
      <c r="I13" s="283"/>
      <c r="J13" s="284" t="s">
        <v>107</v>
      </c>
      <c r="K13" s="285">
        <f>(853*2)/4</f>
        <v>426.5</v>
      </c>
      <c r="L13" s="284"/>
      <c r="M13" s="314"/>
      <c r="N13" s="311"/>
      <c r="O13" s="287" t="s">
        <v>845</v>
      </c>
    </row>
    <row r="14" spans="1:15" ht="15" customHeight="1">
      <c r="A14" s="311"/>
      <c r="B14" s="299">
        <v>3</v>
      </c>
      <c r="C14" s="279" t="s">
        <v>399</v>
      </c>
      <c r="D14" s="280" t="s">
        <v>192</v>
      </c>
      <c r="E14" s="281" t="s">
        <v>400</v>
      </c>
      <c r="F14" s="282" t="s">
        <v>401</v>
      </c>
      <c r="G14" s="283" t="s">
        <v>22</v>
      </c>
      <c r="H14" s="283"/>
      <c r="I14" s="283" t="s">
        <v>45</v>
      </c>
      <c r="J14" s="284" t="s">
        <v>107</v>
      </c>
      <c r="K14" s="285">
        <f>(853*2)/4</f>
        <v>426.5</v>
      </c>
      <c r="L14" s="284"/>
      <c r="M14" s="314"/>
      <c r="N14" s="311"/>
      <c r="O14" s="287" t="s">
        <v>402</v>
      </c>
    </row>
    <row r="15" spans="1:15" ht="15" customHeight="1">
      <c r="A15" s="312"/>
      <c r="B15" s="299">
        <v>4</v>
      </c>
      <c r="C15" s="279">
        <v>123</v>
      </c>
      <c r="D15" s="280" t="s">
        <v>862</v>
      </c>
      <c r="E15" s="281" t="s">
        <v>863</v>
      </c>
      <c r="F15" s="282" t="s">
        <v>864</v>
      </c>
      <c r="G15" s="283" t="s">
        <v>71</v>
      </c>
      <c r="H15" s="283" t="s">
        <v>72</v>
      </c>
      <c r="I15" s="283" t="s">
        <v>45</v>
      </c>
      <c r="J15" s="284" t="s">
        <v>107</v>
      </c>
      <c r="K15" s="285">
        <f>(853*2)/4</f>
        <v>426.5</v>
      </c>
      <c r="L15" s="284"/>
      <c r="M15" s="315"/>
      <c r="N15" s="312"/>
      <c r="O15" s="288" t="s">
        <v>865</v>
      </c>
    </row>
    <row r="16" spans="1:15" ht="15" customHeight="1">
      <c r="A16" s="310"/>
      <c r="B16" s="299">
        <v>1</v>
      </c>
      <c r="C16" s="279" t="s">
        <v>970</v>
      </c>
      <c r="D16" s="280" t="s">
        <v>252</v>
      </c>
      <c r="E16" s="281" t="s">
        <v>971</v>
      </c>
      <c r="F16" s="282" t="s">
        <v>972</v>
      </c>
      <c r="G16" s="283" t="s">
        <v>1072</v>
      </c>
      <c r="H16" s="283" t="s">
        <v>243</v>
      </c>
      <c r="I16" s="283" t="s">
        <v>702</v>
      </c>
      <c r="J16" s="284" t="s">
        <v>287</v>
      </c>
      <c r="K16" s="284"/>
      <c r="L16" s="284"/>
      <c r="M16" s="313" t="s">
        <v>329</v>
      </c>
      <c r="N16" s="310"/>
      <c r="O16" s="286" t="s">
        <v>974</v>
      </c>
    </row>
    <row r="17" spans="1:15" ht="15" customHeight="1">
      <c r="A17" s="311"/>
      <c r="B17" s="299">
        <v>2</v>
      </c>
      <c r="C17" s="279" t="s">
        <v>1068</v>
      </c>
      <c r="D17" s="280" t="s">
        <v>1069</v>
      </c>
      <c r="E17" s="281" t="s">
        <v>1070</v>
      </c>
      <c r="F17" s="282" t="s">
        <v>1071</v>
      </c>
      <c r="G17" s="283" t="s">
        <v>1072</v>
      </c>
      <c r="H17" s="283" t="s">
        <v>237</v>
      </c>
      <c r="I17" s="283" t="s">
        <v>702</v>
      </c>
      <c r="J17" s="284" t="s">
        <v>287</v>
      </c>
      <c r="K17" s="284"/>
      <c r="L17" s="284"/>
      <c r="M17" s="314"/>
      <c r="N17" s="311"/>
      <c r="O17" s="287" t="s">
        <v>974</v>
      </c>
    </row>
    <row r="18" spans="1:15" ht="15" customHeight="1">
      <c r="A18" s="311"/>
      <c r="B18" s="299">
        <v>3</v>
      </c>
      <c r="C18" s="279" t="s">
        <v>1076</v>
      </c>
      <c r="D18" s="280" t="s">
        <v>1077</v>
      </c>
      <c r="E18" s="281" t="s">
        <v>1078</v>
      </c>
      <c r="F18" s="282" t="s">
        <v>1079</v>
      </c>
      <c r="G18" s="283" t="s">
        <v>83</v>
      </c>
      <c r="H18" s="283" t="s">
        <v>237</v>
      </c>
      <c r="I18" s="283" t="s">
        <v>702</v>
      </c>
      <c r="J18" s="284" t="s">
        <v>287</v>
      </c>
      <c r="K18" s="284"/>
      <c r="L18" s="284"/>
      <c r="M18" s="314"/>
      <c r="N18" s="311"/>
      <c r="O18" s="287" t="s">
        <v>742</v>
      </c>
    </row>
    <row r="19" spans="1:15" ht="15" customHeight="1">
      <c r="A19" s="312"/>
      <c r="B19" s="299">
        <v>4</v>
      </c>
      <c r="C19" s="279" t="s">
        <v>982</v>
      </c>
      <c r="D19" s="280" t="s">
        <v>240</v>
      </c>
      <c r="E19" s="281" t="s">
        <v>983</v>
      </c>
      <c r="F19" s="282" t="s">
        <v>984</v>
      </c>
      <c r="G19" s="283" t="s">
        <v>83</v>
      </c>
      <c r="H19" s="283"/>
      <c r="I19" s="283" t="s">
        <v>702</v>
      </c>
      <c r="J19" s="284" t="s">
        <v>287</v>
      </c>
      <c r="K19" s="284"/>
      <c r="L19" s="284"/>
      <c r="M19" s="315"/>
      <c r="N19" s="312"/>
      <c r="O19" s="288" t="s">
        <v>742</v>
      </c>
    </row>
    <row r="20" spans="1:15" ht="15" customHeight="1">
      <c r="A20" s="310"/>
      <c r="B20" s="299">
        <v>1</v>
      </c>
      <c r="C20" s="279">
        <v>294</v>
      </c>
      <c r="D20" s="280" t="s">
        <v>1247</v>
      </c>
      <c r="E20" s="281" t="s">
        <v>1248</v>
      </c>
      <c r="F20" s="282" t="s">
        <v>1249</v>
      </c>
      <c r="G20" s="283" t="s">
        <v>132</v>
      </c>
      <c r="H20" s="283" t="s">
        <v>131</v>
      </c>
      <c r="I20" s="283" t="s">
        <v>172</v>
      </c>
      <c r="J20" s="284"/>
      <c r="K20" s="284"/>
      <c r="L20" s="284"/>
      <c r="M20" s="313" t="s">
        <v>329</v>
      </c>
      <c r="N20" s="310"/>
      <c r="O20" s="286" t="s">
        <v>170</v>
      </c>
    </row>
    <row r="21" spans="1:15" ht="15" customHeight="1">
      <c r="A21" s="311"/>
      <c r="B21" s="299">
        <v>2</v>
      </c>
      <c r="C21" s="279">
        <v>76</v>
      </c>
      <c r="D21" s="280" t="s">
        <v>419</v>
      </c>
      <c r="E21" s="281" t="s">
        <v>1074</v>
      </c>
      <c r="F21" s="282" t="s">
        <v>599</v>
      </c>
      <c r="G21" s="283" t="s">
        <v>132</v>
      </c>
      <c r="H21" s="283" t="s">
        <v>131</v>
      </c>
      <c r="I21" s="283" t="s">
        <v>172</v>
      </c>
      <c r="J21" s="284"/>
      <c r="K21" s="284"/>
      <c r="L21" s="284"/>
      <c r="M21" s="314"/>
      <c r="N21" s="311"/>
      <c r="O21" s="287" t="s">
        <v>750</v>
      </c>
    </row>
    <row r="22" spans="1:15" ht="15" customHeight="1">
      <c r="A22" s="311"/>
      <c r="B22" s="299">
        <v>3</v>
      </c>
      <c r="C22" s="279">
        <v>83</v>
      </c>
      <c r="D22" s="280" t="s">
        <v>326</v>
      </c>
      <c r="E22" s="281" t="s">
        <v>327</v>
      </c>
      <c r="F22" s="282" t="s">
        <v>328</v>
      </c>
      <c r="G22" s="283" t="s">
        <v>132</v>
      </c>
      <c r="H22" s="283" t="s">
        <v>131</v>
      </c>
      <c r="I22" s="283" t="s">
        <v>172</v>
      </c>
      <c r="J22" s="284"/>
      <c r="K22" s="284"/>
      <c r="L22" s="284"/>
      <c r="M22" s="314"/>
      <c r="N22" s="311"/>
      <c r="O22" s="287" t="s">
        <v>330</v>
      </c>
    </row>
    <row r="23" spans="1:15" ht="15" customHeight="1">
      <c r="A23" s="312"/>
      <c r="B23" s="299">
        <v>4</v>
      </c>
      <c r="C23" s="279">
        <v>77</v>
      </c>
      <c r="D23" s="280" t="s">
        <v>439</v>
      </c>
      <c r="E23" s="281" t="s">
        <v>440</v>
      </c>
      <c r="F23" s="282" t="s">
        <v>441</v>
      </c>
      <c r="G23" s="283" t="s">
        <v>132</v>
      </c>
      <c r="H23" s="283" t="s">
        <v>131</v>
      </c>
      <c r="I23" s="283" t="s">
        <v>172</v>
      </c>
      <c r="J23" s="284"/>
      <c r="K23" s="284"/>
      <c r="L23" s="284"/>
      <c r="M23" s="315"/>
      <c r="N23" s="312"/>
      <c r="O23" s="288" t="s">
        <v>412</v>
      </c>
    </row>
  </sheetData>
  <sheetProtection/>
  <mergeCells count="12">
    <mergeCell ref="A16:A19"/>
    <mergeCell ref="M16:M19"/>
    <mergeCell ref="N16:N19"/>
    <mergeCell ref="A20:A23"/>
    <mergeCell ref="M20:M23"/>
    <mergeCell ref="N20:N23"/>
    <mergeCell ref="A8:A11"/>
    <mergeCell ref="M8:M11"/>
    <mergeCell ref="N8:N11"/>
    <mergeCell ref="A12:A15"/>
    <mergeCell ref="M12:M15"/>
    <mergeCell ref="N12:N15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R30"/>
  <sheetViews>
    <sheetView zoomScalePageLayoutView="0" workbookViewId="0" topLeftCell="A2">
      <selection activeCell="O3" sqref="O3"/>
    </sheetView>
  </sheetViews>
  <sheetFormatPr defaultColWidth="9.140625" defaultRowHeight="15"/>
  <cols>
    <col min="1" max="1" width="5.421875" style="277" customWidth="1"/>
    <col min="2" max="2" width="4.57421875" style="277" customWidth="1"/>
    <col min="3" max="3" width="6.00390625" style="277" hidden="1" customWidth="1"/>
    <col min="4" max="4" width="12.140625" style="277" customWidth="1"/>
    <col min="5" max="5" width="13.28125" style="277" customWidth="1"/>
    <col min="6" max="6" width="9.7109375" style="277" customWidth="1"/>
    <col min="7" max="7" width="13.00390625" style="277" bestFit="1" customWidth="1"/>
    <col min="8" max="8" width="9.57421875" style="277" customWidth="1"/>
    <col min="9" max="9" width="10.421875" style="277" customWidth="1"/>
    <col min="10" max="10" width="6.57421875" style="277" customWidth="1"/>
    <col min="11" max="12" width="8.28125" style="277" customWidth="1"/>
    <col min="13" max="13" width="9.00390625" style="277" customWidth="1"/>
    <col min="14" max="14" width="6.28125" style="277" customWidth="1"/>
    <col min="15" max="15" width="22.140625" style="277" customWidth="1"/>
    <col min="16" max="16" width="3.140625" style="277" customWidth="1"/>
    <col min="17" max="16384" width="9.140625" style="277" customWidth="1"/>
  </cols>
  <sheetData>
    <row r="1" spans="1:18" s="4" customFormat="1" ht="18.75" customHeight="1">
      <c r="A1" s="66" t="s">
        <v>0</v>
      </c>
      <c r="B1" s="272"/>
      <c r="C1" s="2"/>
      <c r="D1" s="3"/>
      <c r="F1" s="5"/>
      <c r="K1" s="6"/>
      <c r="L1" s="6"/>
      <c r="M1" s="7"/>
      <c r="N1" s="7"/>
      <c r="O1" s="7"/>
      <c r="P1" s="6"/>
      <c r="R1" s="8"/>
    </row>
    <row r="2" spans="1:18" s="14" customFormat="1" ht="22.5" customHeight="1">
      <c r="A2" s="273" t="s">
        <v>1</v>
      </c>
      <c r="B2" s="272"/>
      <c r="C2" s="12"/>
      <c r="D2" s="13"/>
      <c r="F2" s="15"/>
      <c r="K2" s="16"/>
      <c r="L2" s="16"/>
      <c r="M2" s="17"/>
      <c r="N2" s="17"/>
      <c r="O2" s="18" t="s">
        <v>2</v>
      </c>
      <c r="P2" s="16"/>
      <c r="R2" s="19"/>
    </row>
    <row r="3" spans="1:18" s="24" customFormat="1" ht="15" customHeight="1">
      <c r="A3" s="22"/>
      <c r="B3" s="22"/>
      <c r="C3" s="22"/>
      <c r="D3" s="23"/>
      <c r="F3" s="25"/>
      <c r="K3" s="6"/>
      <c r="L3" s="6"/>
      <c r="M3" s="26"/>
      <c r="N3" s="26"/>
      <c r="O3" s="27" t="s">
        <v>1236</v>
      </c>
      <c r="P3" s="6"/>
      <c r="R3" s="8"/>
    </row>
    <row r="4" spans="1:18" s="24" customFormat="1" ht="15.75" customHeight="1">
      <c r="A4" s="28"/>
      <c r="B4" s="28"/>
      <c r="C4" s="28"/>
      <c r="D4" s="29" t="s">
        <v>1250</v>
      </c>
      <c r="F4" s="30"/>
      <c r="K4" s="6"/>
      <c r="L4" s="6"/>
      <c r="M4" s="26"/>
      <c r="N4" s="26"/>
      <c r="O4" s="26"/>
      <c r="P4" s="6"/>
      <c r="Q4" s="31"/>
      <c r="R4" s="8"/>
    </row>
    <row r="5" spans="1:4" s="275" customFormat="1" ht="9.75" customHeight="1">
      <c r="A5" s="274"/>
      <c r="B5" s="274"/>
      <c r="C5" s="274"/>
      <c r="D5" s="274"/>
    </row>
    <row r="6" spans="1:4" s="275" customFormat="1" ht="9.75" customHeight="1" thickBot="1">
      <c r="A6" s="274"/>
      <c r="B6" s="274"/>
      <c r="C6" s="274"/>
      <c r="D6" s="274"/>
    </row>
    <row r="7" spans="1:15" s="298" customFormat="1" ht="37.5" customHeight="1">
      <c r="A7" s="289" t="s">
        <v>109</v>
      </c>
      <c r="B7" s="290" t="s">
        <v>1238</v>
      </c>
      <c r="C7" s="291" t="s">
        <v>4</v>
      </c>
      <c r="D7" s="292" t="s">
        <v>1239</v>
      </c>
      <c r="E7" s="293" t="s">
        <v>1240</v>
      </c>
      <c r="F7" s="294" t="s">
        <v>7</v>
      </c>
      <c r="G7" s="295"/>
      <c r="H7" s="295"/>
      <c r="I7" s="295"/>
      <c r="J7" s="295" t="s">
        <v>1241</v>
      </c>
      <c r="K7" s="296" t="s">
        <v>1242</v>
      </c>
      <c r="L7" s="296" t="s">
        <v>1243</v>
      </c>
      <c r="M7" s="296" t="s">
        <v>1244</v>
      </c>
      <c r="N7" s="295" t="s">
        <v>14</v>
      </c>
      <c r="O7" s="297" t="s">
        <v>15</v>
      </c>
    </row>
    <row r="8" spans="1:15" ht="15" customHeight="1">
      <c r="A8" s="310">
        <v>1</v>
      </c>
      <c r="B8" s="299">
        <v>1</v>
      </c>
      <c r="C8" s="279" t="s">
        <v>645</v>
      </c>
      <c r="D8" s="280" t="s">
        <v>646</v>
      </c>
      <c r="E8" s="281" t="s">
        <v>647</v>
      </c>
      <c r="F8" s="300" t="s">
        <v>648</v>
      </c>
      <c r="G8" s="283" t="s">
        <v>22</v>
      </c>
      <c r="H8" s="283"/>
      <c r="I8" s="283" t="s">
        <v>45</v>
      </c>
      <c r="J8" s="283" t="s">
        <v>107</v>
      </c>
      <c r="K8" s="301">
        <f>(844*2)/4</f>
        <v>422</v>
      </c>
      <c r="L8" s="63">
        <f>IF(ISBLANK(M8),"",TRUNC(1.236*(M8-69.5)^2))</f>
        <v>844</v>
      </c>
      <c r="M8" s="313">
        <v>43.36</v>
      </c>
      <c r="N8" s="310" t="s">
        <v>1267</v>
      </c>
      <c r="O8" s="302" t="s">
        <v>108</v>
      </c>
    </row>
    <row r="9" spans="1:15" ht="15" customHeight="1">
      <c r="A9" s="311"/>
      <c r="B9" s="299">
        <v>2</v>
      </c>
      <c r="C9" s="279">
        <v>94</v>
      </c>
      <c r="D9" s="303" t="s">
        <v>821</v>
      </c>
      <c r="E9" s="304" t="s">
        <v>822</v>
      </c>
      <c r="F9" s="305" t="s">
        <v>823</v>
      </c>
      <c r="G9" s="305" t="s">
        <v>824</v>
      </c>
      <c r="H9" s="306"/>
      <c r="I9" s="306" t="s">
        <v>189</v>
      </c>
      <c r="J9" s="283" t="s">
        <v>107</v>
      </c>
      <c r="K9" s="301">
        <f>(844*2)/4</f>
        <v>422</v>
      </c>
      <c r="L9" s="284"/>
      <c r="M9" s="314"/>
      <c r="N9" s="311"/>
      <c r="O9" s="307" t="s">
        <v>825</v>
      </c>
    </row>
    <row r="10" spans="1:15" ht="15" customHeight="1">
      <c r="A10" s="311"/>
      <c r="B10" s="299">
        <v>3</v>
      </c>
      <c r="C10" s="279" t="s">
        <v>760</v>
      </c>
      <c r="D10" s="280" t="s">
        <v>761</v>
      </c>
      <c r="E10" s="281" t="s">
        <v>762</v>
      </c>
      <c r="F10" s="300" t="s">
        <v>319</v>
      </c>
      <c r="G10" s="283" t="s">
        <v>22</v>
      </c>
      <c r="H10" s="283" t="s">
        <v>72</v>
      </c>
      <c r="I10" s="283" t="s">
        <v>763</v>
      </c>
      <c r="J10" s="283" t="s">
        <v>107</v>
      </c>
      <c r="K10" s="301">
        <f>(844*2)/4</f>
        <v>422</v>
      </c>
      <c r="L10" s="284"/>
      <c r="M10" s="314"/>
      <c r="N10" s="311"/>
      <c r="O10" s="307" t="s">
        <v>1251</v>
      </c>
    </row>
    <row r="11" spans="1:15" ht="15" customHeight="1">
      <c r="A11" s="312"/>
      <c r="B11" s="299">
        <v>4</v>
      </c>
      <c r="C11" s="279" t="s">
        <v>656</v>
      </c>
      <c r="D11" s="280" t="s">
        <v>651</v>
      </c>
      <c r="E11" s="281" t="s">
        <v>657</v>
      </c>
      <c r="F11" s="300" t="s">
        <v>658</v>
      </c>
      <c r="G11" s="283" t="s">
        <v>71</v>
      </c>
      <c r="H11" s="283" t="s">
        <v>72</v>
      </c>
      <c r="I11" s="283" t="s">
        <v>73</v>
      </c>
      <c r="J11" s="283" t="s">
        <v>107</v>
      </c>
      <c r="K11" s="301">
        <f>(844*2)/4</f>
        <v>422</v>
      </c>
      <c r="L11" s="284"/>
      <c r="M11" s="315"/>
      <c r="N11" s="312"/>
      <c r="O11" s="308" t="s">
        <v>604</v>
      </c>
    </row>
    <row r="12" spans="1:15" ht="15" customHeight="1">
      <c r="A12" s="310">
        <v>2</v>
      </c>
      <c r="B12" s="299">
        <v>1</v>
      </c>
      <c r="C12" s="279">
        <v>75</v>
      </c>
      <c r="D12" s="280" t="s">
        <v>747</v>
      </c>
      <c r="E12" s="281" t="s">
        <v>748</v>
      </c>
      <c r="F12" s="300" t="s">
        <v>749</v>
      </c>
      <c r="G12" s="283" t="s">
        <v>132</v>
      </c>
      <c r="H12" s="283"/>
      <c r="I12" s="283" t="s">
        <v>172</v>
      </c>
      <c r="J12" s="283" t="s">
        <v>171</v>
      </c>
      <c r="K12" s="301">
        <f>(837*2)/4</f>
        <v>418.5</v>
      </c>
      <c r="L12" s="63"/>
      <c r="M12" s="313">
        <v>43.47</v>
      </c>
      <c r="N12" s="310" t="s">
        <v>1267</v>
      </c>
      <c r="O12" s="302" t="s">
        <v>750</v>
      </c>
    </row>
    <row r="13" spans="1:15" ht="15" customHeight="1">
      <c r="A13" s="311"/>
      <c r="B13" s="299">
        <v>2</v>
      </c>
      <c r="C13" s="279">
        <v>62</v>
      </c>
      <c r="D13" s="280" t="s">
        <v>539</v>
      </c>
      <c r="E13" s="281" t="s">
        <v>781</v>
      </c>
      <c r="F13" s="300" t="s">
        <v>782</v>
      </c>
      <c r="G13" s="283" t="s">
        <v>783</v>
      </c>
      <c r="H13" s="283" t="s">
        <v>337</v>
      </c>
      <c r="I13" s="283"/>
      <c r="J13" s="283"/>
      <c r="K13" s="301">
        <f>(837*2)/4</f>
        <v>418.5</v>
      </c>
      <c r="L13" s="284"/>
      <c r="M13" s="314"/>
      <c r="N13" s="311"/>
      <c r="O13" s="307" t="s">
        <v>784</v>
      </c>
    </row>
    <row r="14" spans="1:15" ht="15" customHeight="1">
      <c r="A14" s="311"/>
      <c r="B14" s="299">
        <v>3</v>
      </c>
      <c r="C14" s="279" t="s">
        <v>691</v>
      </c>
      <c r="D14" s="280" t="s">
        <v>692</v>
      </c>
      <c r="E14" s="281" t="s">
        <v>693</v>
      </c>
      <c r="F14" s="300" t="s">
        <v>694</v>
      </c>
      <c r="G14" s="283" t="s">
        <v>695</v>
      </c>
      <c r="H14" s="283"/>
      <c r="I14" s="283" t="s">
        <v>45</v>
      </c>
      <c r="J14" s="283"/>
      <c r="K14" s="301">
        <f>(837*2)/4</f>
        <v>418.5</v>
      </c>
      <c r="L14" s="284"/>
      <c r="M14" s="314"/>
      <c r="N14" s="311"/>
      <c r="O14" s="307" t="s">
        <v>555</v>
      </c>
    </row>
    <row r="15" spans="1:15" ht="15" customHeight="1">
      <c r="A15" s="312"/>
      <c r="B15" s="299">
        <v>4</v>
      </c>
      <c r="C15" s="279">
        <v>185</v>
      </c>
      <c r="D15" s="280" t="s">
        <v>592</v>
      </c>
      <c r="E15" s="281" t="s">
        <v>684</v>
      </c>
      <c r="F15" s="300" t="s">
        <v>685</v>
      </c>
      <c r="G15" s="283" t="s">
        <v>43</v>
      </c>
      <c r="H15" s="283" t="s">
        <v>148</v>
      </c>
      <c r="I15" s="283" t="s">
        <v>320</v>
      </c>
      <c r="J15" s="283"/>
      <c r="K15" s="301">
        <f>(837*2)/4</f>
        <v>418.5</v>
      </c>
      <c r="L15" s="284"/>
      <c r="M15" s="315"/>
      <c r="N15" s="312"/>
      <c r="O15" s="308" t="s">
        <v>321</v>
      </c>
    </row>
    <row r="16" spans="1:15" ht="15" customHeight="1">
      <c r="A16" s="310">
        <v>3</v>
      </c>
      <c r="B16" s="299">
        <v>1</v>
      </c>
      <c r="C16" s="279" t="s">
        <v>564</v>
      </c>
      <c r="D16" s="280" t="s">
        <v>478</v>
      </c>
      <c r="E16" s="281" t="s">
        <v>565</v>
      </c>
      <c r="F16" s="300" t="s">
        <v>566</v>
      </c>
      <c r="G16" s="283" t="s">
        <v>546</v>
      </c>
      <c r="H16" s="283" t="s">
        <v>141</v>
      </c>
      <c r="I16" s="283" t="s">
        <v>547</v>
      </c>
      <c r="J16" s="283"/>
      <c r="K16" s="301">
        <f>(800*2)/4</f>
        <v>400</v>
      </c>
      <c r="L16" s="63"/>
      <c r="M16" s="313">
        <v>44.05</v>
      </c>
      <c r="N16" s="310" t="s">
        <v>1267</v>
      </c>
      <c r="O16" s="302" t="s">
        <v>548</v>
      </c>
    </row>
    <row r="17" spans="1:15" ht="15" customHeight="1">
      <c r="A17" s="311"/>
      <c r="B17" s="299">
        <v>2</v>
      </c>
      <c r="C17" s="279" t="s">
        <v>1221</v>
      </c>
      <c r="D17" s="280" t="s">
        <v>1222</v>
      </c>
      <c r="E17" s="281" t="s">
        <v>1223</v>
      </c>
      <c r="F17" s="300" t="s">
        <v>1224</v>
      </c>
      <c r="G17" s="283" t="s">
        <v>546</v>
      </c>
      <c r="H17" s="283" t="s">
        <v>141</v>
      </c>
      <c r="I17" s="283" t="s">
        <v>547</v>
      </c>
      <c r="J17" s="283"/>
      <c r="K17" s="301">
        <f>(800*2)/4</f>
        <v>400</v>
      </c>
      <c r="L17" s="284"/>
      <c r="M17" s="314"/>
      <c r="N17" s="311"/>
      <c r="O17" s="307" t="s">
        <v>548</v>
      </c>
    </row>
    <row r="18" spans="1:15" ht="15" customHeight="1">
      <c r="A18" s="311"/>
      <c r="B18" s="299">
        <v>3</v>
      </c>
      <c r="C18" s="279" t="s">
        <v>543</v>
      </c>
      <c r="D18" s="280" t="s">
        <v>257</v>
      </c>
      <c r="E18" s="281" t="s">
        <v>544</v>
      </c>
      <c r="F18" s="300" t="s">
        <v>545</v>
      </c>
      <c r="G18" s="283" t="s">
        <v>546</v>
      </c>
      <c r="H18" s="283" t="s">
        <v>141</v>
      </c>
      <c r="I18" s="283" t="s">
        <v>547</v>
      </c>
      <c r="J18" s="283"/>
      <c r="K18" s="301">
        <f>(800*2)/4</f>
        <v>400</v>
      </c>
      <c r="L18" s="284"/>
      <c r="M18" s="314"/>
      <c r="N18" s="311"/>
      <c r="O18" s="307" t="s">
        <v>548</v>
      </c>
    </row>
    <row r="19" spans="1:15" ht="15" customHeight="1">
      <c r="A19" s="312"/>
      <c r="B19" s="299">
        <v>4</v>
      </c>
      <c r="C19" s="279" t="s">
        <v>1211</v>
      </c>
      <c r="D19" s="280" t="s">
        <v>478</v>
      </c>
      <c r="E19" s="281" t="s">
        <v>1212</v>
      </c>
      <c r="F19" s="300" t="s">
        <v>1213</v>
      </c>
      <c r="G19" s="283" t="s">
        <v>83</v>
      </c>
      <c r="H19" s="283" t="s">
        <v>1008</v>
      </c>
      <c r="I19" s="283" t="s">
        <v>164</v>
      </c>
      <c r="J19" s="283" t="s">
        <v>287</v>
      </c>
      <c r="K19" s="301">
        <f>(800*2)/4</f>
        <v>400</v>
      </c>
      <c r="L19" s="284"/>
      <c r="M19" s="315"/>
      <c r="N19" s="312"/>
      <c r="O19" s="288" t="s">
        <v>316</v>
      </c>
    </row>
    <row r="20" spans="1:15" ht="15" customHeight="1">
      <c r="A20" s="310"/>
      <c r="B20" s="299">
        <v>1</v>
      </c>
      <c r="C20" s="279" t="s">
        <v>661</v>
      </c>
      <c r="D20" s="280" t="s">
        <v>524</v>
      </c>
      <c r="E20" s="281" t="s">
        <v>662</v>
      </c>
      <c r="F20" s="300" t="s">
        <v>663</v>
      </c>
      <c r="G20" s="283" t="s">
        <v>83</v>
      </c>
      <c r="H20" s="283" t="s">
        <v>237</v>
      </c>
      <c r="I20" s="283"/>
      <c r="J20" s="283" t="s">
        <v>287</v>
      </c>
      <c r="K20" s="284"/>
      <c r="L20" s="284"/>
      <c r="M20" s="313" t="s">
        <v>110</v>
      </c>
      <c r="N20" s="310"/>
      <c r="O20" s="302" t="s">
        <v>1252</v>
      </c>
    </row>
    <row r="21" spans="1:15" ht="15" customHeight="1">
      <c r="A21" s="311"/>
      <c r="B21" s="299">
        <v>2</v>
      </c>
      <c r="C21" s="279">
        <v>164</v>
      </c>
      <c r="D21" s="280" t="s">
        <v>1253</v>
      </c>
      <c r="E21" s="281" t="s">
        <v>593</v>
      </c>
      <c r="F21" s="300" t="s">
        <v>594</v>
      </c>
      <c r="G21" s="283" t="s">
        <v>83</v>
      </c>
      <c r="H21" s="283" t="s">
        <v>237</v>
      </c>
      <c r="I21" s="283"/>
      <c r="J21" s="283" t="s">
        <v>287</v>
      </c>
      <c r="K21" s="284"/>
      <c r="L21" s="284"/>
      <c r="M21" s="314"/>
      <c r="N21" s="311"/>
      <c r="O21" s="307" t="s">
        <v>1254</v>
      </c>
    </row>
    <row r="22" spans="1:15" ht="15" customHeight="1">
      <c r="A22" s="311"/>
      <c r="B22" s="299">
        <v>3</v>
      </c>
      <c r="C22" s="279" t="s">
        <v>638</v>
      </c>
      <c r="D22" s="280" t="s">
        <v>639</v>
      </c>
      <c r="E22" s="281" t="s">
        <v>640</v>
      </c>
      <c r="F22" s="300" t="s">
        <v>641</v>
      </c>
      <c r="G22" s="283" t="s">
        <v>83</v>
      </c>
      <c r="H22" s="283" t="s">
        <v>237</v>
      </c>
      <c r="I22" s="283"/>
      <c r="J22" s="283" t="s">
        <v>287</v>
      </c>
      <c r="K22" s="284"/>
      <c r="L22" s="284"/>
      <c r="M22" s="314"/>
      <c r="N22" s="311"/>
      <c r="O22" s="307" t="s">
        <v>643</v>
      </c>
    </row>
    <row r="23" spans="1:15" ht="15" customHeight="1">
      <c r="A23" s="312"/>
      <c r="B23" s="299">
        <v>4</v>
      </c>
      <c r="C23" s="279" t="s">
        <v>811</v>
      </c>
      <c r="D23" s="280" t="s">
        <v>651</v>
      </c>
      <c r="E23" s="281" t="s">
        <v>812</v>
      </c>
      <c r="F23" s="300" t="s">
        <v>813</v>
      </c>
      <c r="G23" s="283" t="s">
        <v>83</v>
      </c>
      <c r="H23" s="283" t="s">
        <v>237</v>
      </c>
      <c r="I23" s="283"/>
      <c r="J23" s="283" t="s">
        <v>287</v>
      </c>
      <c r="K23" s="284"/>
      <c r="L23" s="284"/>
      <c r="M23" s="315"/>
      <c r="N23" s="312"/>
      <c r="O23" s="308" t="s">
        <v>555</v>
      </c>
    </row>
    <row r="24" spans="1:15" ht="15" customHeight="1">
      <c r="A24" s="310"/>
      <c r="B24" s="299">
        <v>1</v>
      </c>
      <c r="C24" s="279">
        <v>17</v>
      </c>
      <c r="D24" s="280" t="s">
        <v>1255</v>
      </c>
      <c r="E24" s="281" t="s">
        <v>1256</v>
      </c>
      <c r="F24" s="300" t="s">
        <v>1257</v>
      </c>
      <c r="G24" s="283" t="s">
        <v>1258</v>
      </c>
      <c r="H24" s="283" t="s">
        <v>29</v>
      </c>
      <c r="I24" s="283"/>
      <c r="J24" s="283" t="s">
        <v>78</v>
      </c>
      <c r="K24" s="284"/>
      <c r="L24" s="284"/>
      <c r="M24" s="313" t="s">
        <v>110</v>
      </c>
      <c r="N24" s="310"/>
      <c r="O24" s="302" t="s">
        <v>1259</v>
      </c>
    </row>
    <row r="25" spans="1:15" ht="15" customHeight="1">
      <c r="A25" s="311"/>
      <c r="B25" s="299">
        <v>2</v>
      </c>
      <c r="C25" s="279" t="s">
        <v>600</v>
      </c>
      <c r="D25" s="280" t="s">
        <v>601</v>
      </c>
      <c r="E25" s="281" t="s">
        <v>602</v>
      </c>
      <c r="F25" s="300" t="s">
        <v>603</v>
      </c>
      <c r="G25" s="283" t="s">
        <v>71</v>
      </c>
      <c r="H25" s="283" t="s">
        <v>72</v>
      </c>
      <c r="I25" s="283" t="s">
        <v>73</v>
      </c>
      <c r="J25" s="283" t="s">
        <v>78</v>
      </c>
      <c r="K25" s="284"/>
      <c r="L25" s="284"/>
      <c r="M25" s="314"/>
      <c r="N25" s="311"/>
      <c r="O25" s="307" t="s">
        <v>845</v>
      </c>
    </row>
    <row r="26" spans="1:15" ht="15" customHeight="1">
      <c r="A26" s="311"/>
      <c r="B26" s="299">
        <v>3</v>
      </c>
      <c r="C26" s="279" t="s">
        <v>1260</v>
      </c>
      <c r="D26" s="280" t="s">
        <v>257</v>
      </c>
      <c r="E26" s="281" t="s">
        <v>1261</v>
      </c>
      <c r="F26" s="300" t="s">
        <v>1011</v>
      </c>
      <c r="G26" s="283" t="s">
        <v>1262</v>
      </c>
      <c r="H26" s="283" t="s">
        <v>72</v>
      </c>
      <c r="I26" s="283" t="s">
        <v>189</v>
      </c>
      <c r="J26" s="283" t="s">
        <v>78</v>
      </c>
      <c r="K26" s="284"/>
      <c r="L26" s="284"/>
      <c r="M26" s="314"/>
      <c r="N26" s="311"/>
      <c r="O26" s="307" t="s">
        <v>1263</v>
      </c>
    </row>
    <row r="27" spans="1:15" ht="15" customHeight="1">
      <c r="A27" s="312"/>
      <c r="B27" s="299">
        <v>4</v>
      </c>
      <c r="C27" s="279">
        <v>49</v>
      </c>
      <c r="D27" s="280" t="s">
        <v>634</v>
      </c>
      <c r="E27" s="281" t="s">
        <v>1264</v>
      </c>
      <c r="F27" s="300" t="s">
        <v>1265</v>
      </c>
      <c r="G27" s="283" t="s">
        <v>71</v>
      </c>
      <c r="H27" s="283" t="s">
        <v>72</v>
      </c>
      <c r="I27" s="283"/>
      <c r="J27" s="283" t="s">
        <v>78</v>
      </c>
      <c r="K27" s="284"/>
      <c r="L27" s="284"/>
      <c r="M27" s="315"/>
      <c r="N27" s="312"/>
      <c r="O27" s="308" t="s">
        <v>845</v>
      </c>
    </row>
    <row r="30" spans="11:12" ht="12.75">
      <c r="K30" s="309"/>
      <c r="L30" s="309"/>
    </row>
  </sheetData>
  <sheetProtection/>
  <mergeCells count="15">
    <mergeCell ref="A24:A27"/>
    <mergeCell ref="M24:M27"/>
    <mergeCell ref="N24:N27"/>
    <mergeCell ref="A16:A19"/>
    <mergeCell ref="M16:M19"/>
    <mergeCell ref="N16:N19"/>
    <mergeCell ref="A20:A23"/>
    <mergeCell ref="M20:M23"/>
    <mergeCell ref="N20:N23"/>
    <mergeCell ref="A8:A11"/>
    <mergeCell ref="M8:M11"/>
    <mergeCell ref="N8:N11"/>
    <mergeCell ref="A12:A15"/>
    <mergeCell ref="M12:M15"/>
    <mergeCell ref="N12:N15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Y13"/>
  <sheetViews>
    <sheetView zoomScalePageLayoutView="0" workbookViewId="0" topLeftCell="A1">
      <selection activeCell="X3" sqref="X3"/>
    </sheetView>
  </sheetViews>
  <sheetFormatPr defaultColWidth="9.140625" defaultRowHeight="15"/>
  <cols>
    <col min="1" max="1" width="5.140625" style="114" customWidth="1"/>
    <col min="2" max="2" width="1.8515625" style="114" hidden="1" customWidth="1"/>
    <col min="3" max="3" width="4.7109375" style="114" hidden="1" customWidth="1"/>
    <col min="4" max="4" width="9.7109375" style="111" customWidth="1"/>
    <col min="5" max="5" width="13.7109375" style="111" customWidth="1"/>
    <col min="6" max="6" width="8.140625" style="111" customWidth="1"/>
    <col min="7" max="7" width="10.140625" style="111" customWidth="1"/>
    <col min="8" max="8" width="7.7109375" style="111" customWidth="1"/>
    <col min="9" max="9" width="9.140625" style="111" customWidth="1"/>
    <col min="10" max="10" width="1.7109375" style="111" hidden="1" customWidth="1"/>
    <col min="11" max="11" width="5.28125" style="111" customWidth="1"/>
    <col min="12" max="17" width="6.28125" style="114" customWidth="1"/>
    <col min="18" max="21" width="4.28125" style="114" hidden="1" customWidth="1"/>
    <col min="22" max="22" width="4.8515625" style="111" customWidth="1"/>
    <col min="23" max="23" width="4.57421875" style="111" customWidth="1"/>
    <col min="24" max="24" width="18.140625" style="113" customWidth="1"/>
    <col min="25" max="25" width="3.00390625" style="112" customWidth="1"/>
    <col min="26" max="16384" width="9.140625" style="111" customWidth="1"/>
  </cols>
  <sheetData>
    <row r="1" spans="1:25" s="141" customFormat="1" ht="20.25">
      <c r="A1" s="148" t="s">
        <v>0</v>
      </c>
      <c r="B1" s="148"/>
      <c r="C1" s="147"/>
      <c r="F1" s="142"/>
      <c r="G1" s="142"/>
      <c r="H1" s="142"/>
      <c r="I1" s="142"/>
      <c r="J1" s="142"/>
      <c r="X1" s="146"/>
      <c r="Y1" s="112"/>
    </row>
    <row r="2" spans="1:25" s="141" customFormat="1" ht="19.5">
      <c r="A2" s="145"/>
      <c r="B2" s="145"/>
      <c r="C2" s="144"/>
      <c r="F2" s="142"/>
      <c r="G2" s="142"/>
      <c r="H2" s="142"/>
      <c r="I2" s="142"/>
      <c r="J2" s="142"/>
      <c r="X2" s="18" t="s">
        <v>2</v>
      </c>
      <c r="Y2" s="115"/>
    </row>
    <row r="3" spans="1:25" s="141" customFormat="1" ht="15" customHeight="1">
      <c r="A3" s="143"/>
      <c r="B3" s="143"/>
      <c r="C3" s="143"/>
      <c r="F3" s="142"/>
      <c r="G3" s="142"/>
      <c r="H3" s="142"/>
      <c r="I3" s="142"/>
      <c r="J3" s="142"/>
      <c r="X3" s="27" t="s">
        <v>1236</v>
      </c>
      <c r="Y3" s="112"/>
    </row>
    <row r="4" spans="4:24" ht="18.75">
      <c r="D4" s="140" t="s">
        <v>253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X4" s="138"/>
    </row>
    <row r="5" spans="4:24" ht="6" customHeight="1">
      <c r="D5" s="140"/>
      <c r="L5" s="139"/>
      <c r="M5" s="139"/>
      <c r="N5" s="139"/>
      <c r="O5" s="139"/>
      <c r="P5" s="139"/>
      <c r="Q5" s="139"/>
      <c r="R5" s="139"/>
      <c r="S5" s="139"/>
      <c r="T5" s="139"/>
      <c r="U5" s="139"/>
      <c r="X5" s="138"/>
    </row>
    <row r="6" spans="1:25" s="135" customFormat="1" ht="11.25" thickBot="1">
      <c r="A6" s="136"/>
      <c r="B6" s="136"/>
      <c r="C6" s="136"/>
      <c r="D6" s="137"/>
      <c r="L6" s="136"/>
      <c r="M6" s="136"/>
      <c r="N6" s="136"/>
      <c r="O6" s="136"/>
      <c r="P6" s="136"/>
      <c r="Q6" s="136"/>
      <c r="R6" s="136"/>
      <c r="S6" s="136"/>
      <c r="T6" s="136"/>
      <c r="U6" s="136"/>
      <c r="Y6" s="112"/>
    </row>
    <row r="7" spans="1:25" s="126" customFormat="1" ht="21" customHeight="1" thickBot="1">
      <c r="A7" s="134" t="s">
        <v>109</v>
      </c>
      <c r="B7" s="133"/>
      <c r="C7" s="132" t="s">
        <v>4</v>
      </c>
      <c r="D7" s="131" t="s">
        <v>5</v>
      </c>
      <c r="E7" s="130" t="s">
        <v>6</v>
      </c>
      <c r="F7" s="128" t="s">
        <v>7</v>
      </c>
      <c r="G7" s="128" t="s">
        <v>8</v>
      </c>
      <c r="H7" s="128" t="s">
        <v>9</v>
      </c>
      <c r="I7" s="128" t="s">
        <v>10</v>
      </c>
      <c r="J7" s="128"/>
      <c r="K7" s="128" t="s">
        <v>12</v>
      </c>
      <c r="L7" s="129">
        <v>2.4</v>
      </c>
      <c r="M7" s="129">
        <v>2.6</v>
      </c>
      <c r="N7" s="129">
        <v>2.8</v>
      </c>
      <c r="O7" s="129">
        <v>3</v>
      </c>
      <c r="P7" s="129">
        <v>3.1</v>
      </c>
      <c r="Q7" s="129">
        <v>3.2</v>
      </c>
      <c r="R7" s="129"/>
      <c r="S7" s="129"/>
      <c r="T7" s="129"/>
      <c r="U7" s="129"/>
      <c r="V7" s="128" t="s">
        <v>181</v>
      </c>
      <c r="W7" s="128" t="s">
        <v>14</v>
      </c>
      <c r="X7" s="127" t="s">
        <v>15</v>
      </c>
      <c r="Y7" s="112"/>
    </row>
    <row r="8" spans="1:25" ht="18" customHeight="1">
      <c r="A8" s="125">
        <v>1</v>
      </c>
      <c r="B8" s="125"/>
      <c r="C8" s="124">
        <v>198</v>
      </c>
      <c r="D8" s="123" t="s">
        <v>252</v>
      </c>
      <c r="E8" s="122" t="s">
        <v>251</v>
      </c>
      <c r="F8" s="121" t="s">
        <v>250</v>
      </c>
      <c r="G8" s="120" t="s">
        <v>83</v>
      </c>
      <c r="H8" s="116" t="s">
        <v>237</v>
      </c>
      <c r="I8" s="120" t="s">
        <v>242</v>
      </c>
      <c r="J8" s="120"/>
      <c r="K8" s="119">
        <f aca="true" t="shared" si="0" ref="K8:K13">IF(ISBLANK(V8),"",TRUNC(3.953*(V8+34.83)^2)-5000)</f>
        <v>687</v>
      </c>
      <c r="L8" s="118"/>
      <c r="M8" s="118"/>
      <c r="N8" s="118" t="s">
        <v>231</v>
      </c>
      <c r="O8" s="118" t="s">
        <v>231</v>
      </c>
      <c r="P8" s="118" t="s">
        <v>231</v>
      </c>
      <c r="Q8" s="118" t="s">
        <v>225</v>
      </c>
      <c r="R8" s="118"/>
      <c r="S8" s="118"/>
      <c r="T8" s="118"/>
      <c r="U8" s="118"/>
      <c r="V8" s="105">
        <v>3.1</v>
      </c>
      <c r="W8" s="117" t="str">
        <f aca="true" t="shared" si="1" ref="W8:W13">IF(ISBLANK(V8),"",IF(V8&lt;2.4,"",IF(V8&gt;=4.1,"TSM",IF(V8&gt;=3.82,"SM",IF(V8&gt;=3.48,"KSM",IF(V8&gt;=3.1,"I A",IF(V8&gt;=2.7,"II A",IF(V8&gt;=2.4,"III A"))))))))</f>
        <v>I A</v>
      </c>
      <c r="X8" s="116" t="s">
        <v>241</v>
      </c>
      <c r="Y8" s="115"/>
    </row>
    <row r="9" spans="1:25" ht="18" customHeight="1">
      <c r="A9" s="125">
        <v>2</v>
      </c>
      <c r="B9" s="125"/>
      <c r="C9" s="124">
        <v>199</v>
      </c>
      <c r="D9" s="123" t="s">
        <v>249</v>
      </c>
      <c r="E9" s="122" t="s">
        <v>248</v>
      </c>
      <c r="F9" s="121" t="s">
        <v>247</v>
      </c>
      <c r="G9" s="120" t="s">
        <v>83</v>
      </c>
      <c r="H9" s="116" t="s">
        <v>243</v>
      </c>
      <c r="I9" s="120" t="s">
        <v>242</v>
      </c>
      <c r="J9" s="120"/>
      <c r="K9" s="119">
        <f t="shared" si="0"/>
        <v>657</v>
      </c>
      <c r="L9" s="118"/>
      <c r="M9" s="118" t="s">
        <v>226</v>
      </c>
      <c r="N9" s="118" t="s">
        <v>231</v>
      </c>
      <c r="O9" s="118" t="s">
        <v>246</v>
      </c>
      <c r="P9" s="118" t="s">
        <v>225</v>
      </c>
      <c r="Q9" s="118"/>
      <c r="R9" s="118"/>
      <c r="S9" s="118"/>
      <c r="T9" s="118"/>
      <c r="U9" s="118"/>
      <c r="V9" s="105">
        <v>3</v>
      </c>
      <c r="W9" s="117" t="str">
        <f t="shared" si="1"/>
        <v>II A</v>
      </c>
      <c r="X9" s="116" t="s">
        <v>241</v>
      </c>
      <c r="Y9" s="115"/>
    </row>
    <row r="10" spans="1:25" ht="18" customHeight="1">
      <c r="A10" s="125">
        <v>3</v>
      </c>
      <c r="B10" s="125"/>
      <c r="C10" s="124">
        <v>196</v>
      </c>
      <c r="D10" s="123" t="s">
        <v>139</v>
      </c>
      <c r="E10" s="122" t="s">
        <v>245</v>
      </c>
      <c r="F10" s="121" t="s">
        <v>244</v>
      </c>
      <c r="G10" s="120" t="s">
        <v>83</v>
      </c>
      <c r="H10" s="116" t="s">
        <v>243</v>
      </c>
      <c r="I10" s="120" t="s">
        <v>242</v>
      </c>
      <c r="J10" s="120"/>
      <c r="K10" s="119">
        <f t="shared" si="0"/>
        <v>597</v>
      </c>
      <c r="L10" s="118"/>
      <c r="M10" s="118"/>
      <c r="N10" s="118" t="s">
        <v>226</v>
      </c>
      <c r="O10" s="118" t="s">
        <v>225</v>
      </c>
      <c r="P10" s="118"/>
      <c r="Q10" s="118"/>
      <c r="R10" s="118"/>
      <c r="S10" s="118"/>
      <c r="T10" s="118"/>
      <c r="U10" s="118"/>
      <c r="V10" s="105">
        <v>2.8</v>
      </c>
      <c r="W10" s="117" t="str">
        <f t="shared" si="1"/>
        <v>II A</v>
      </c>
      <c r="X10" s="116" t="s">
        <v>241</v>
      </c>
      <c r="Y10" s="115"/>
    </row>
    <row r="11" spans="1:25" ht="18" customHeight="1">
      <c r="A11" s="125">
        <v>4</v>
      </c>
      <c r="B11" s="125"/>
      <c r="C11" s="124">
        <v>175</v>
      </c>
      <c r="D11" s="123" t="s">
        <v>240</v>
      </c>
      <c r="E11" s="122" t="s">
        <v>239</v>
      </c>
      <c r="F11" s="121" t="s">
        <v>238</v>
      </c>
      <c r="G11" s="120" t="s">
        <v>83</v>
      </c>
      <c r="H11" s="116" t="s">
        <v>237</v>
      </c>
      <c r="I11" s="120"/>
      <c r="J11" s="120"/>
      <c r="K11" s="119">
        <f t="shared" si="0"/>
        <v>597</v>
      </c>
      <c r="L11" s="118"/>
      <c r="M11" s="118" t="s">
        <v>231</v>
      </c>
      <c r="N11" s="118" t="s">
        <v>226</v>
      </c>
      <c r="O11" s="118" t="s">
        <v>225</v>
      </c>
      <c r="P11" s="118"/>
      <c r="Q11" s="118"/>
      <c r="R11" s="118"/>
      <c r="S11" s="118"/>
      <c r="T11" s="118"/>
      <c r="U11" s="118"/>
      <c r="V11" s="105">
        <v>2.8</v>
      </c>
      <c r="W11" s="117" t="str">
        <f t="shared" si="1"/>
        <v>II A</v>
      </c>
      <c r="X11" s="116" t="s">
        <v>236</v>
      </c>
      <c r="Y11" s="115"/>
    </row>
    <row r="12" spans="1:25" ht="18" customHeight="1">
      <c r="A12" s="125">
        <v>5</v>
      </c>
      <c r="B12" s="125"/>
      <c r="C12" s="124">
        <v>87</v>
      </c>
      <c r="D12" s="123" t="s">
        <v>235</v>
      </c>
      <c r="E12" s="122" t="s">
        <v>234</v>
      </c>
      <c r="F12" s="121" t="s">
        <v>233</v>
      </c>
      <c r="G12" s="120" t="s">
        <v>232</v>
      </c>
      <c r="H12" s="116" t="s">
        <v>72</v>
      </c>
      <c r="I12" s="120"/>
      <c r="J12" s="120"/>
      <c r="K12" s="119">
        <f t="shared" si="0"/>
        <v>597</v>
      </c>
      <c r="L12" s="118"/>
      <c r="M12" s="118"/>
      <c r="N12" s="118" t="s">
        <v>231</v>
      </c>
      <c r="O12" s="118" t="s">
        <v>225</v>
      </c>
      <c r="P12" s="118"/>
      <c r="Q12" s="118"/>
      <c r="R12" s="118"/>
      <c r="S12" s="118"/>
      <c r="T12" s="118"/>
      <c r="U12" s="118"/>
      <c r="V12" s="105">
        <v>2.8</v>
      </c>
      <c r="W12" s="117" t="str">
        <f t="shared" si="1"/>
        <v>II A</v>
      </c>
      <c r="X12" s="116" t="s">
        <v>230</v>
      </c>
      <c r="Y12" s="115"/>
    </row>
    <row r="13" spans="1:25" ht="18" customHeight="1">
      <c r="A13" s="125">
        <v>6</v>
      </c>
      <c r="B13" s="125"/>
      <c r="C13" s="124">
        <v>68</v>
      </c>
      <c r="D13" s="123" t="s">
        <v>229</v>
      </c>
      <c r="E13" s="122" t="s">
        <v>228</v>
      </c>
      <c r="F13" s="121" t="s">
        <v>227</v>
      </c>
      <c r="G13" s="120" t="s">
        <v>83</v>
      </c>
      <c r="H13" s="116" t="s">
        <v>218</v>
      </c>
      <c r="I13" s="120" t="s">
        <v>84</v>
      </c>
      <c r="J13" s="120"/>
      <c r="K13" s="119">
        <f t="shared" si="0"/>
        <v>479</v>
      </c>
      <c r="L13" s="118" t="s">
        <v>226</v>
      </c>
      <c r="M13" s="118" t="s">
        <v>225</v>
      </c>
      <c r="N13" s="118"/>
      <c r="O13" s="118"/>
      <c r="P13" s="118"/>
      <c r="Q13" s="118"/>
      <c r="R13" s="118"/>
      <c r="S13" s="118"/>
      <c r="T13" s="118"/>
      <c r="U13" s="118"/>
      <c r="V13" s="105">
        <v>2.4</v>
      </c>
      <c r="W13" s="117" t="str">
        <f t="shared" si="1"/>
        <v>III A</v>
      </c>
      <c r="X13" s="116" t="s">
        <v>219</v>
      </c>
      <c r="Y13" s="115"/>
    </row>
  </sheetData>
  <sheetProtection/>
  <printOptions horizontalCentered="1"/>
  <pageMargins left="0.15" right="0.15" top="0.78740157480315" bottom="0.590551181102362" header="0.511811023622047" footer="0.39370078740157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X10"/>
  <sheetViews>
    <sheetView zoomScalePageLayoutView="0" workbookViewId="0" topLeftCell="A1">
      <selection activeCell="W3" sqref="W3"/>
    </sheetView>
  </sheetViews>
  <sheetFormatPr defaultColWidth="9.140625" defaultRowHeight="15"/>
  <cols>
    <col min="1" max="1" width="5.140625" style="114" customWidth="1"/>
    <col min="2" max="2" width="2.28125" style="114" hidden="1" customWidth="1"/>
    <col min="3" max="3" width="4.7109375" style="114" hidden="1" customWidth="1"/>
    <col min="4" max="4" width="9.7109375" style="111" customWidth="1"/>
    <col min="5" max="5" width="11.28125" style="111" customWidth="1"/>
    <col min="6" max="6" width="8.140625" style="111" customWidth="1"/>
    <col min="7" max="7" width="11.8515625" style="111" customWidth="1"/>
    <col min="8" max="8" width="7.7109375" style="111" customWidth="1"/>
    <col min="9" max="9" width="9.7109375" style="111" customWidth="1"/>
    <col min="10" max="10" width="2.8515625" style="111" hidden="1" customWidth="1"/>
    <col min="11" max="11" width="5.28125" style="111" customWidth="1"/>
    <col min="12" max="17" width="5.00390625" style="114" customWidth="1"/>
    <col min="18" max="20" width="4.28125" style="114" hidden="1" customWidth="1"/>
    <col min="21" max="21" width="4.8515625" style="111" customWidth="1"/>
    <col min="22" max="22" width="4.57421875" style="111" customWidth="1"/>
    <col min="23" max="23" width="18.140625" style="113" customWidth="1"/>
    <col min="24" max="24" width="3.00390625" style="112" customWidth="1"/>
    <col min="25" max="16384" width="9.140625" style="111" customWidth="1"/>
  </cols>
  <sheetData>
    <row r="1" spans="1:24" s="141" customFormat="1" ht="20.25">
      <c r="A1" s="148" t="s">
        <v>0</v>
      </c>
      <c r="B1" s="148"/>
      <c r="C1" s="147"/>
      <c r="F1" s="142"/>
      <c r="G1" s="142"/>
      <c r="H1" s="142"/>
      <c r="I1" s="142"/>
      <c r="J1" s="142"/>
      <c r="W1" s="146"/>
      <c r="X1" s="112"/>
    </row>
    <row r="2" spans="1:24" s="141" customFormat="1" ht="19.5">
      <c r="A2" s="145"/>
      <c r="B2" s="145"/>
      <c r="C2" s="144"/>
      <c r="F2" s="142"/>
      <c r="G2" s="142"/>
      <c r="H2" s="142"/>
      <c r="I2" s="142"/>
      <c r="J2" s="142"/>
      <c r="W2" s="18" t="s">
        <v>2</v>
      </c>
      <c r="X2" s="115"/>
    </row>
    <row r="3" spans="1:24" s="141" customFormat="1" ht="15" customHeight="1">
      <c r="A3" s="143"/>
      <c r="B3" s="143"/>
      <c r="C3" s="143"/>
      <c r="F3" s="142"/>
      <c r="G3" s="142"/>
      <c r="H3" s="142"/>
      <c r="I3" s="142"/>
      <c r="J3" s="142"/>
      <c r="W3" s="27" t="s">
        <v>1236</v>
      </c>
      <c r="X3" s="112"/>
    </row>
    <row r="4" spans="4:23" ht="18.75">
      <c r="D4" s="140" t="s">
        <v>940</v>
      </c>
      <c r="L4" s="139"/>
      <c r="M4" s="139"/>
      <c r="N4" s="139"/>
      <c r="O4" s="139"/>
      <c r="P4" s="139"/>
      <c r="Q4" s="139"/>
      <c r="R4" s="139"/>
      <c r="S4" s="139"/>
      <c r="T4" s="139"/>
      <c r="W4" s="138"/>
    </row>
    <row r="5" spans="4:23" ht="6" customHeight="1">
      <c r="D5" s="140"/>
      <c r="L5" s="139"/>
      <c r="M5" s="139"/>
      <c r="N5" s="139"/>
      <c r="O5" s="139"/>
      <c r="P5" s="139"/>
      <c r="Q5" s="139"/>
      <c r="R5" s="139"/>
      <c r="S5" s="139"/>
      <c r="T5" s="139"/>
      <c r="W5" s="138"/>
    </row>
    <row r="6" spans="1:24" s="135" customFormat="1" ht="11.25" thickBot="1">
      <c r="A6" s="136"/>
      <c r="B6" s="136"/>
      <c r="C6" s="136"/>
      <c r="D6" s="137"/>
      <c r="L6" s="136"/>
      <c r="M6" s="136"/>
      <c r="N6" s="136"/>
      <c r="O6" s="136"/>
      <c r="P6" s="136"/>
      <c r="Q6" s="136"/>
      <c r="R6" s="136"/>
      <c r="S6" s="136"/>
      <c r="T6" s="136"/>
      <c r="X6" s="112"/>
    </row>
    <row r="7" spans="1:24" s="126" customFormat="1" ht="21" customHeight="1" thickBot="1">
      <c r="A7" s="134" t="s">
        <v>109</v>
      </c>
      <c r="B7" s="133"/>
      <c r="C7" s="132" t="s">
        <v>4</v>
      </c>
      <c r="D7" s="131" t="s">
        <v>5</v>
      </c>
      <c r="E7" s="130" t="s">
        <v>6</v>
      </c>
      <c r="F7" s="128" t="s">
        <v>7</v>
      </c>
      <c r="G7" s="128" t="s">
        <v>8</v>
      </c>
      <c r="H7" s="128" t="s">
        <v>9</v>
      </c>
      <c r="I7" s="128" t="s">
        <v>10</v>
      </c>
      <c r="J7" s="128"/>
      <c r="K7" s="128" t="s">
        <v>12</v>
      </c>
      <c r="L7" s="129">
        <v>3.8</v>
      </c>
      <c r="M7" s="129">
        <v>4.3</v>
      </c>
      <c r="N7" s="129">
        <v>4.4</v>
      </c>
      <c r="O7" s="129">
        <v>4.5</v>
      </c>
      <c r="P7" s="129">
        <v>4.6</v>
      </c>
      <c r="Q7" s="129">
        <v>4.7</v>
      </c>
      <c r="R7" s="129"/>
      <c r="S7" s="129"/>
      <c r="T7" s="129"/>
      <c r="U7" s="128" t="s">
        <v>181</v>
      </c>
      <c r="V7" s="128" t="s">
        <v>14</v>
      </c>
      <c r="W7" s="127" t="s">
        <v>15</v>
      </c>
      <c r="X7" s="112"/>
    </row>
    <row r="8" spans="1:24" ht="18" customHeight="1">
      <c r="A8" s="125">
        <v>1</v>
      </c>
      <c r="B8" s="125"/>
      <c r="C8" s="124">
        <v>113</v>
      </c>
      <c r="D8" s="123" t="s">
        <v>47</v>
      </c>
      <c r="E8" s="122" t="s">
        <v>939</v>
      </c>
      <c r="F8" s="121" t="s">
        <v>938</v>
      </c>
      <c r="G8" s="120" t="s">
        <v>71</v>
      </c>
      <c r="H8" s="116" t="s">
        <v>72</v>
      </c>
      <c r="I8" s="120"/>
      <c r="J8" s="120"/>
      <c r="K8" s="250">
        <f>IF(ISBLANK(U8),"",TRUNC(3.042*(U8+39.39)^2)-5000)</f>
        <v>886</v>
      </c>
      <c r="L8" s="118"/>
      <c r="M8" s="118" t="s">
        <v>246</v>
      </c>
      <c r="N8" s="118" t="s">
        <v>286</v>
      </c>
      <c r="O8" s="118" t="s">
        <v>231</v>
      </c>
      <c r="P8" s="118" t="s">
        <v>231</v>
      </c>
      <c r="Q8" s="118" t="s">
        <v>225</v>
      </c>
      <c r="R8" s="118"/>
      <c r="S8" s="118"/>
      <c r="T8" s="118"/>
      <c r="U8" s="105">
        <v>4.6</v>
      </c>
      <c r="V8" s="249" t="str">
        <f>IF(ISBLANK(U8),"",IF(U8&lt;3.05,"",IF(U8&gt;=5.55,"TSM",IF(U8&gt;=5.1,"SM",IF(U8&gt;=4.6,"KSM",IF(U8&gt;=4.1,"I A",IF(U8&gt;=3.5,"II A",IF(U8&gt;=3.05,"III A"))))))))</f>
        <v>KSM</v>
      </c>
      <c r="W8" s="116" t="s">
        <v>214</v>
      </c>
      <c r="X8" s="115"/>
    </row>
    <row r="9" spans="1:24" ht="18" customHeight="1">
      <c r="A9" s="125">
        <v>2</v>
      </c>
      <c r="B9" s="125"/>
      <c r="C9" s="124">
        <v>41</v>
      </c>
      <c r="D9" s="123" t="s">
        <v>937</v>
      </c>
      <c r="E9" s="122" t="s">
        <v>936</v>
      </c>
      <c r="F9" s="121" t="s">
        <v>935</v>
      </c>
      <c r="G9" s="120" t="s">
        <v>132</v>
      </c>
      <c r="H9" s="116"/>
      <c r="I9" s="120" t="s">
        <v>172</v>
      </c>
      <c r="J9" s="120"/>
      <c r="K9" s="250">
        <f>IF(ISBLANK(U9),"",TRUNC(3.042*(U9+39.39)^2)-5000)</f>
        <v>859</v>
      </c>
      <c r="L9" s="118"/>
      <c r="M9" s="118" t="s">
        <v>226</v>
      </c>
      <c r="N9" s="118" t="s">
        <v>231</v>
      </c>
      <c r="O9" s="118" t="s">
        <v>246</v>
      </c>
      <c r="P9" s="118" t="s">
        <v>225</v>
      </c>
      <c r="Q9" s="118"/>
      <c r="R9" s="118"/>
      <c r="S9" s="118"/>
      <c r="T9" s="118"/>
      <c r="U9" s="105">
        <v>4.5</v>
      </c>
      <c r="V9" s="249" t="str">
        <f>IF(ISBLANK(U9),"",IF(U9&lt;3.05,"",IF(U9&gt;=5.55,"TSM",IF(U9&gt;=5.1,"SM",IF(U9&gt;=4.6,"KSM",IF(U9&gt;=4.1,"I A",IF(U9&gt;=3.5,"II A",IF(U9&gt;=3.05,"III A"))))))))</f>
        <v>I A</v>
      </c>
      <c r="W9" s="116" t="s">
        <v>934</v>
      </c>
      <c r="X9" s="115"/>
    </row>
    <row r="10" spans="1:24" ht="18" customHeight="1">
      <c r="A10" s="125"/>
      <c r="B10" s="125"/>
      <c r="C10" s="124">
        <v>200</v>
      </c>
      <c r="D10" s="123" t="s">
        <v>933</v>
      </c>
      <c r="E10" s="122" t="s">
        <v>932</v>
      </c>
      <c r="F10" s="121" t="s">
        <v>931</v>
      </c>
      <c r="G10" s="120" t="s">
        <v>83</v>
      </c>
      <c r="H10" s="116" t="s">
        <v>930</v>
      </c>
      <c r="I10" s="120" t="s">
        <v>242</v>
      </c>
      <c r="J10" s="120"/>
      <c r="K10" s="250"/>
      <c r="L10" s="118" t="s">
        <v>225</v>
      </c>
      <c r="M10" s="118"/>
      <c r="N10" s="118"/>
      <c r="O10" s="118"/>
      <c r="P10" s="118"/>
      <c r="Q10" s="118"/>
      <c r="R10" s="118"/>
      <c r="S10" s="118"/>
      <c r="T10" s="118"/>
      <c r="U10" s="105" t="s">
        <v>926</v>
      </c>
      <c r="V10" s="249"/>
      <c r="W10" s="116" t="s">
        <v>241</v>
      </c>
      <c r="X10" s="115"/>
    </row>
  </sheetData>
  <sheetProtection/>
  <printOptions horizontalCentered="1"/>
  <pageMargins left="0.15" right="0.15" top="0.78740157480315" bottom="0.590551181102362" header="0.511811023622047" footer="0.39370078740157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3.00390625" style="28" customWidth="1"/>
    <col min="3" max="3" width="4.7109375" style="28" hidden="1" customWidth="1"/>
    <col min="4" max="4" width="9.421875" style="23" customWidth="1"/>
    <col min="5" max="5" width="15.28125" style="24" customWidth="1"/>
    <col min="6" max="6" width="9.28125" style="25" customWidth="1"/>
    <col min="7" max="7" width="11.140625" style="24" customWidth="1"/>
    <col min="8" max="8" width="8.57421875" style="24" customWidth="1"/>
    <col min="9" max="9" width="10.710937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customWidth="1"/>
    <col min="16" max="16" width="4.00390625" style="26" customWidth="1"/>
    <col min="17" max="17" width="4.7109375" style="26" customWidth="1"/>
    <col min="18" max="18" width="4.421875" style="6" customWidth="1"/>
    <col min="19" max="19" width="24.57421875" style="24" customWidth="1"/>
    <col min="20" max="21" width="6.00390625" style="10" hidden="1" customWidth="1"/>
    <col min="22" max="22" width="2.00390625" style="24" hidden="1" customWidth="1"/>
    <col min="23" max="16384" width="9.140625" style="24" customWidth="1"/>
  </cols>
  <sheetData>
    <row r="1" spans="1:21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10"/>
      <c r="U1" s="10"/>
    </row>
    <row r="2" spans="1:21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21"/>
      <c r="U2" s="21"/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969</v>
      </c>
      <c r="F4" s="30"/>
      <c r="S4" s="31"/>
    </row>
    <row r="5" ht="3.75" customHeight="1"/>
    <row r="6" spans="3:8" ht="13.5" thickBot="1">
      <c r="C6" s="33"/>
      <c r="D6" s="34"/>
      <c r="E6" s="35"/>
      <c r="F6" s="36" t="s">
        <v>111</v>
      </c>
      <c r="G6" s="37"/>
      <c r="H6" s="38"/>
    </row>
    <row r="7" spans="1:21" s="49" customFormat="1" ht="13.5" thickBot="1">
      <c r="A7" s="39" t="s">
        <v>109</v>
      </c>
      <c r="B7" s="43" t="s">
        <v>17</v>
      </c>
      <c r="C7" s="45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632</v>
      </c>
      <c r="M7" s="44" t="s">
        <v>293</v>
      </c>
      <c r="N7" s="44" t="s">
        <v>294</v>
      </c>
      <c r="O7" s="44" t="s">
        <v>111</v>
      </c>
      <c r="P7" s="44" t="s">
        <v>293</v>
      </c>
      <c r="Q7" s="44" t="s">
        <v>294</v>
      </c>
      <c r="R7" s="46" t="s">
        <v>14</v>
      </c>
      <c r="S7" s="47" t="s">
        <v>15</v>
      </c>
      <c r="T7" s="256" t="s">
        <v>18</v>
      </c>
      <c r="U7" s="256" t="s">
        <v>16</v>
      </c>
    </row>
    <row r="8" spans="1:22" ht="15">
      <c r="A8" s="50">
        <v>1</v>
      </c>
      <c r="B8" s="51">
        <v>1</v>
      </c>
      <c r="C8" s="51" t="s">
        <v>970</v>
      </c>
      <c r="D8" s="52" t="s">
        <v>252</v>
      </c>
      <c r="E8" s="53" t="s">
        <v>971</v>
      </c>
      <c r="F8" s="54" t="s">
        <v>972</v>
      </c>
      <c r="G8" s="55" t="s">
        <v>973</v>
      </c>
      <c r="H8" s="55" t="s">
        <v>243</v>
      </c>
      <c r="I8" s="55" t="s">
        <v>702</v>
      </c>
      <c r="J8" s="55" t="s">
        <v>287</v>
      </c>
      <c r="K8" s="186">
        <f>IF(ISBLANK(O8),"",TRUNC(9.92*(O8-22)^2))</f>
        <v>1015</v>
      </c>
      <c r="L8" s="258">
        <v>11.96</v>
      </c>
      <c r="M8" s="170">
        <v>2</v>
      </c>
      <c r="N8" s="171">
        <v>0.253</v>
      </c>
      <c r="O8" s="172">
        <v>11.88</v>
      </c>
      <c r="P8" s="170">
        <v>0.2</v>
      </c>
      <c r="Q8" s="171"/>
      <c r="R8" s="189" t="str">
        <f>IF(ISBLANK(O8),"",IF(O8&gt;14.94,"",IF(O8&lt;=11.4,"TSM",IF(O8&lt;=11.84,"SM",IF(O8&lt;=12.4,"KSM",IF(O8&lt;=13.04,"I A",IF(O8&lt;=13.84,"II A",IF(O8&lt;=14.94,"III A"))))))))</f>
        <v>KSM</v>
      </c>
      <c r="S8" s="55" t="s">
        <v>974</v>
      </c>
      <c r="T8" s="6" t="s">
        <v>975</v>
      </c>
      <c r="U8" s="6"/>
      <c r="V8" s="24">
        <v>3</v>
      </c>
    </row>
    <row r="9" spans="1:22" ht="15">
      <c r="A9" s="50">
        <v>2</v>
      </c>
      <c r="B9" s="51">
        <v>2</v>
      </c>
      <c r="C9" s="51" t="s">
        <v>976</v>
      </c>
      <c r="D9" s="52" t="s">
        <v>977</v>
      </c>
      <c r="E9" s="53" t="s">
        <v>978</v>
      </c>
      <c r="F9" s="54" t="s">
        <v>979</v>
      </c>
      <c r="G9" s="55" t="s">
        <v>71</v>
      </c>
      <c r="H9" s="55" t="s">
        <v>72</v>
      </c>
      <c r="I9" s="55" t="s">
        <v>65</v>
      </c>
      <c r="J9" s="55" t="s">
        <v>107</v>
      </c>
      <c r="K9" s="186">
        <f>IF(ISBLANK(O9),"",TRUNC(9.92*(O9-22)^2))</f>
        <v>939</v>
      </c>
      <c r="L9" s="258">
        <v>12.31</v>
      </c>
      <c r="M9" s="170">
        <v>2</v>
      </c>
      <c r="N9" s="171" t="s">
        <v>300</v>
      </c>
      <c r="O9" s="172">
        <v>12.27</v>
      </c>
      <c r="P9" s="170">
        <v>0.2</v>
      </c>
      <c r="Q9" s="171"/>
      <c r="R9" s="189" t="str">
        <f>IF(ISBLANK(O9),"",IF(O9&gt;14.94,"",IF(O9&lt;=11.4,"TSM",IF(O9&lt;=11.84,"SM",IF(O9&lt;=12.4,"KSM",IF(O9&lt;=13.04,"I A",IF(O9&lt;=13.84,"II A",IF(O9&lt;=14.94,"III A"))))))))</f>
        <v>KSM</v>
      </c>
      <c r="S9" s="193" t="s">
        <v>980</v>
      </c>
      <c r="T9" s="6" t="s">
        <v>466</v>
      </c>
      <c r="U9" s="6" t="s">
        <v>981</v>
      </c>
      <c r="V9" s="24">
        <v>3</v>
      </c>
    </row>
    <row r="10" spans="1:22" ht="15">
      <c r="A10" s="50">
        <v>3</v>
      </c>
      <c r="B10" s="51"/>
      <c r="C10" s="51" t="s">
        <v>1005</v>
      </c>
      <c r="D10" s="52" t="s">
        <v>891</v>
      </c>
      <c r="E10" s="53" t="s">
        <v>1006</v>
      </c>
      <c r="F10" s="54" t="s">
        <v>1007</v>
      </c>
      <c r="G10" s="55" t="s">
        <v>83</v>
      </c>
      <c r="H10" s="55" t="s">
        <v>1008</v>
      </c>
      <c r="I10" s="55" t="s">
        <v>164</v>
      </c>
      <c r="J10" s="55"/>
      <c r="K10" s="186">
        <f>IF(ISBLANK(O10),"",TRUNC(9.92*(O10-22)^2))</f>
        <v>937</v>
      </c>
      <c r="L10" s="258">
        <v>12.35</v>
      </c>
      <c r="M10" s="170">
        <v>-1</v>
      </c>
      <c r="N10" s="170" t="s">
        <v>300</v>
      </c>
      <c r="O10" s="172">
        <v>12.28</v>
      </c>
      <c r="P10" s="170">
        <v>0.2</v>
      </c>
      <c r="Q10" s="171"/>
      <c r="R10" s="189" t="str">
        <f>IF(ISBLANK(O10),"",IF(O10&gt;14.94,"",IF(O10&lt;=11.4,"TSM",IF(O10&lt;=11.84,"SM",IF(O10&lt;=12.4,"KSM",IF(O10&lt;=13.04,"I A",IF(O10&lt;=13.84,"II A",IF(O10&lt;=14.94,"III A"))))))))</f>
        <v>KSM</v>
      </c>
      <c r="S10" s="55" t="s">
        <v>316</v>
      </c>
      <c r="T10" s="6" t="s">
        <v>1009</v>
      </c>
      <c r="U10" s="6"/>
      <c r="V10" s="24">
        <v>2</v>
      </c>
    </row>
    <row r="11" spans="1:22" ht="15">
      <c r="A11" s="50">
        <v>4</v>
      </c>
      <c r="B11" s="51"/>
      <c r="C11" s="51">
        <v>93</v>
      </c>
      <c r="D11" s="52" t="s">
        <v>307</v>
      </c>
      <c r="E11" s="53" t="s">
        <v>1010</v>
      </c>
      <c r="F11" s="54" t="s">
        <v>1011</v>
      </c>
      <c r="G11" s="55" t="s">
        <v>71</v>
      </c>
      <c r="H11" s="55"/>
      <c r="I11" s="55" t="s">
        <v>189</v>
      </c>
      <c r="J11" s="55"/>
      <c r="K11" s="186">
        <f>IF(ISBLANK(L11),"",TRUNC(9.92*(L11-22)^2))</f>
        <v>919</v>
      </c>
      <c r="L11" s="257">
        <v>12.37</v>
      </c>
      <c r="M11" s="170">
        <v>-1</v>
      </c>
      <c r="N11" s="170">
        <v>0.127</v>
      </c>
      <c r="O11" s="258">
        <v>12.4</v>
      </c>
      <c r="P11" s="170">
        <v>0.2</v>
      </c>
      <c r="Q11" s="171"/>
      <c r="R11" s="189" t="str">
        <f>IF(ISBLANK(L11),"",IF(L11&gt;14.94,"",IF(L11&lt;=11.4,"TSM",IF(L11&lt;=11.84,"SM",IF(L11&lt;=12.4,"KSM",IF(L11&lt;=13.04,"I A",IF(L11&lt;=13.84,"II A",IF(L11&lt;=14.94,"III A"))))))))</f>
        <v>KSM</v>
      </c>
      <c r="S11" s="55" t="s">
        <v>490</v>
      </c>
      <c r="T11" s="6" t="s">
        <v>466</v>
      </c>
      <c r="U11" s="6"/>
      <c r="V11" s="24">
        <v>2</v>
      </c>
    </row>
    <row r="12" spans="1:22" ht="15">
      <c r="A12" s="50">
        <v>5</v>
      </c>
      <c r="B12" s="51"/>
      <c r="C12" s="51" t="s">
        <v>1033</v>
      </c>
      <c r="D12" s="52" t="s">
        <v>139</v>
      </c>
      <c r="E12" s="53" t="s">
        <v>1034</v>
      </c>
      <c r="F12" s="54" t="s">
        <v>1035</v>
      </c>
      <c r="G12" s="55" t="s">
        <v>1036</v>
      </c>
      <c r="H12" s="55" t="s">
        <v>579</v>
      </c>
      <c r="I12" s="55" t="s">
        <v>580</v>
      </c>
      <c r="J12" s="55"/>
      <c r="K12" s="186">
        <f>IF(ISBLANK(O12),"",TRUNC(9.92*(O12-22)^2))</f>
        <v>910</v>
      </c>
      <c r="L12" s="258">
        <v>12.5</v>
      </c>
      <c r="M12" s="170">
        <v>-0.5</v>
      </c>
      <c r="N12" s="170" t="s">
        <v>300</v>
      </c>
      <c r="O12" s="172">
        <v>12.42</v>
      </c>
      <c r="P12" s="170">
        <v>0.2</v>
      </c>
      <c r="Q12" s="171"/>
      <c r="R12" s="189" t="str">
        <f>IF(ISBLANK(O12),"",IF(O12&gt;14.94,"",IF(O12&lt;=11.4,"TSM",IF(O12&lt;=11.84,"SM",IF(O12&lt;=12.4,"KSM",IF(O12&lt;=13.04,"I A",IF(O12&lt;=13.84,"II A",IF(O12&lt;=14.94,"III A"))))))))</f>
        <v>I A</v>
      </c>
      <c r="S12" s="55" t="s">
        <v>1037</v>
      </c>
      <c r="T12" s="6" t="s">
        <v>1038</v>
      </c>
      <c r="U12" s="6"/>
      <c r="V12" s="24">
        <v>4</v>
      </c>
    </row>
    <row r="13" spans="1:22" ht="15">
      <c r="A13" s="50">
        <v>6</v>
      </c>
      <c r="B13" s="51"/>
      <c r="C13" s="51">
        <v>74</v>
      </c>
      <c r="D13" s="52" t="s">
        <v>1039</v>
      </c>
      <c r="E13" s="53" t="s">
        <v>1040</v>
      </c>
      <c r="F13" s="54" t="s">
        <v>921</v>
      </c>
      <c r="G13" s="55" t="s">
        <v>132</v>
      </c>
      <c r="H13" s="55" t="s">
        <v>131</v>
      </c>
      <c r="I13" s="55" t="s">
        <v>223</v>
      </c>
      <c r="J13" s="55"/>
      <c r="K13" s="186">
        <f>IF(ISBLANK(O13),"",TRUNC(9.92*(O13-22)^2))</f>
        <v>897</v>
      </c>
      <c r="L13" s="258">
        <v>12.54</v>
      </c>
      <c r="M13" s="170">
        <v>-0.5</v>
      </c>
      <c r="N13" s="170" t="s">
        <v>300</v>
      </c>
      <c r="O13" s="172">
        <v>12.49</v>
      </c>
      <c r="P13" s="170">
        <v>0.2</v>
      </c>
      <c r="Q13" s="171"/>
      <c r="R13" s="189" t="str">
        <f>IF(ISBLANK(O13),"",IF(O13&gt;14.94,"",IF(O13&lt;=11.4,"TSM",IF(O13&lt;=11.84,"SM",IF(O13&lt;=12.4,"KSM",IF(O13&lt;=13.04,"I A",IF(O13&lt;=13.84,"II A",IF(O13&lt;=14.94,"III A"))))))))</f>
        <v>I A</v>
      </c>
      <c r="S13" s="55" t="s">
        <v>1041</v>
      </c>
      <c r="T13" s="6" t="s">
        <v>1042</v>
      </c>
      <c r="U13" s="6"/>
      <c r="V13" s="24">
        <v>4</v>
      </c>
    </row>
    <row r="14" spans="1:22" ht="15">
      <c r="A14" s="50">
        <v>7</v>
      </c>
      <c r="B14" s="51">
        <v>3</v>
      </c>
      <c r="C14" s="51" t="s">
        <v>982</v>
      </c>
      <c r="D14" s="52" t="s">
        <v>240</v>
      </c>
      <c r="E14" s="53" t="s">
        <v>983</v>
      </c>
      <c r="F14" s="54" t="s">
        <v>984</v>
      </c>
      <c r="G14" s="55" t="s">
        <v>83</v>
      </c>
      <c r="H14" s="55"/>
      <c r="I14" s="55" t="s">
        <v>702</v>
      </c>
      <c r="J14" s="55" t="s">
        <v>287</v>
      </c>
      <c r="K14" s="186">
        <f>IF(ISBLANK(L14),"",TRUNC(9.92*(L14-22)^2))</f>
        <v>908</v>
      </c>
      <c r="L14" s="257">
        <v>12.43</v>
      </c>
      <c r="M14" s="170">
        <v>2</v>
      </c>
      <c r="N14" s="171">
        <v>0.14</v>
      </c>
      <c r="O14" s="258">
        <v>12.57</v>
      </c>
      <c r="P14" s="170">
        <v>0.2</v>
      </c>
      <c r="Q14" s="171"/>
      <c r="R14" s="189" t="str">
        <f>IF(ISBLANK(L14),"",IF(L14&gt;14.94,"",IF(L14&lt;=11.4,"TSM",IF(L14&lt;=11.84,"SM",IF(L14&lt;=12.4,"KSM",IF(L14&lt;=13.04,"I A",IF(L14&lt;=13.84,"II A",IF(L14&lt;=14.94,"III A"))))))))</f>
        <v>I A</v>
      </c>
      <c r="S14" s="55" t="s">
        <v>742</v>
      </c>
      <c r="T14" s="6" t="s">
        <v>985</v>
      </c>
      <c r="U14" s="6"/>
      <c r="V14" s="24">
        <v>3</v>
      </c>
    </row>
    <row r="15" spans="1:22" ht="15.75" thickBot="1">
      <c r="A15" s="50">
        <v>8</v>
      </c>
      <c r="B15" s="51"/>
      <c r="C15" s="51" t="s">
        <v>1012</v>
      </c>
      <c r="D15" s="52" t="s">
        <v>1013</v>
      </c>
      <c r="E15" s="53" t="s">
        <v>1014</v>
      </c>
      <c r="F15" s="54" t="s">
        <v>1015</v>
      </c>
      <c r="G15" s="55" t="s">
        <v>546</v>
      </c>
      <c r="H15" s="55" t="s">
        <v>141</v>
      </c>
      <c r="I15" s="55" t="s">
        <v>547</v>
      </c>
      <c r="J15" s="55"/>
      <c r="K15" s="186">
        <f>IF(ISBLANK(L15),"",TRUNC(9.92*(L15-22)^2))</f>
        <v>880</v>
      </c>
      <c r="L15" s="257">
        <v>12.58</v>
      </c>
      <c r="M15" s="170">
        <v>-1</v>
      </c>
      <c r="N15" s="170">
        <v>0.175</v>
      </c>
      <c r="O15" s="258">
        <v>12.67</v>
      </c>
      <c r="P15" s="170">
        <v>0.2</v>
      </c>
      <c r="Q15" s="171"/>
      <c r="R15" s="189" t="str">
        <f>IF(ISBLANK(L15),"",IF(L15&gt;14.94,"",IF(L15&lt;=11.4,"TSM",IF(L15&lt;=11.84,"SM",IF(L15&lt;=12.4,"KSM",IF(L15&lt;=13.04,"I A",IF(L15&lt;=13.84,"II A",IF(L15&lt;=14.94,"III A"))))))))</f>
        <v>I A</v>
      </c>
      <c r="S15" s="55" t="s">
        <v>1016</v>
      </c>
      <c r="T15" s="6" t="s">
        <v>466</v>
      </c>
      <c r="U15" s="6" t="s">
        <v>1017</v>
      </c>
      <c r="V15" s="24">
        <v>2</v>
      </c>
    </row>
    <row r="16" spans="1:21" s="49" customFormat="1" ht="13.5" thickBot="1">
      <c r="A16" s="39" t="s">
        <v>109</v>
      </c>
      <c r="B16" s="43" t="s">
        <v>17</v>
      </c>
      <c r="C16" s="45" t="s">
        <v>4</v>
      </c>
      <c r="D16" s="41" t="s">
        <v>5</v>
      </c>
      <c r="E16" s="42" t="s">
        <v>6</v>
      </c>
      <c r="F16" s="43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3" t="s">
        <v>12</v>
      </c>
      <c r="L16" s="45" t="s">
        <v>632</v>
      </c>
      <c r="M16" s="44" t="s">
        <v>293</v>
      </c>
      <c r="N16" s="44" t="s">
        <v>294</v>
      </c>
      <c r="O16" s="44" t="s">
        <v>111</v>
      </c>
      <c r="P16" s="44" t="s">
        <v>293</v>
      </c>
      <c r="Q16" s="44" t="s">
        <v>294</v>
      </c>
      <c r="R16" s="46" t="s">
        <v>14</v>
      </c>
      <c r="S16" s="47" t="s">
        <v>15</v>
      </c>
      <c r="T16" s="256" t="s">
        <v>18</v>
      </c>
      <c r="U16" s="256" t="s">
        <v>16</v>
      </c>
    </row>
    <row r="17" spans="1:22" ht="14.25">
      <c r="A17" s="50">
        <v>9</v>
      </c>
      <c r="B17" s="51"/>
      <c r="C17" s="51" t="s">
        <v>1043</v>
      </c>
      <c r="D17" s="52" t="s">
        <v>1029</v>
      </c>
      <c r="E17" s="53" t="s">
        <v>1044</v>
      </c>
      <c r="F17" s="54" t="s">
        <v>1045</v>
      </c>
      <c r="G17" s="55" t="s">
        <v>1000</v>
      </c>
      <c r="H17" s="55" t="s">
        <v>72</v>
      </c>
      <c r="I17" s="55" t="s">
        <v>770</v>
      </c>
      <c r="J17" s="55"/>
      <c r="K17" s="186">
        <f aca="true" t="shared" si="0" ref="K17:K36">IF(ISBLANK(L17),"",TRUNC(9.92*(L17-22)^2))</f>
        <v>880</v>
      </c>
      <c r="L17" s="257">
        <v>12.58</v>
      </c>
      <c r="M17" s="170">
        <v>-0.5</v>
      </c>
      <c r="N17" s="170" t="s">
        <v>300</v>
      </c>
      <c r="O17" s="172"/>
      <c r="P17" s="170"/>
      <c r="Q17" s="171"/>
      <c r="R17" s="189" t="str">
        <f aca="true" t="shared" si="1" ref="R17:R37">IF(ISBLANK(L17),"",IF(L17&gt;14.94,"",IF(L17&lt;=11.4,"TSM",IF(L17&lt;=11.84,"SM",IF(L17&lt;=12.4,"KSM",IF(L17&lt;=13.04,"I A",IF(L17&lt;=13.84,"II A",IF(L17&lt;=14.94,"III A"))))))))</f>
        <v>I A</v>
      </c>
      <c r="S17" s="55" t="s">
        <v>991</v>
      </c>
      <c r="T17" s="6" t="s">
        <v>1046</v>
      </c>
      <c r="U17" s="6"/>
      <c r="V17" s="24">
        <v>4</v>
      </c>
    </row>
    <row r="18" spans="1:22" ht="14.25">
      <c r="A18" s="50">
        <v>10</v>
      </c>
      <c r="B18" s="51">
        <v>4</v>
      </c>
      <c r="C18" s="51" t="s">
        <v>1068</v>
      </c>
      <c r="D18" s="52" t="s">
        <v>1069</v>
      </c>
      <c r="E18" s="53" t="s">
        <v>1070</v>
      </c>
      <c r="F18" s="54" t="s">
        <v>1071</v>
      </c>
      <c r="G18" s="55" t="s">
        <v>1072</v>
      </c>
      <c r="H18" s="55" t="s">
        <v>237</v>
      </c>
      <c r="I18" s="55" t="s">
        <v>702</v>
      </c>
      <c r="J18" s="55" t="s">
        <v>287</v>
      </c>
      <c r="K18" s="186">
        <f t="shared" si="0"/>
        <v>848</v>
      </c>
      <c r="L18" s="257">
        <v>12.75</v>
      </c>
      <c r="M18" s="170">
        <v>-0.6</v>
      </c>
      <c r="N18" s="170" t="s">
        <v>300</v>
      </c>
      <c r="O18" s="172"/>
      <c r="P18" s="170"/>
      <c r="Q18" s="171"/>
      <c r="R18" s="189" t="str">
        <f t="shared" si="1"/>
        <v>I A</v>
      </c>
      <c r="S18" s="55" t="s">
        <v>974</v>
      </c>
      <c r="T18" s="6" t="s">
        <v>466</v>
      </c>
      <c r="U18" s="6" t="s">
        <v>1073</v>
      </c>
      <c r="V18" s="24">
        <v>1</v>
      </c>
    </row>
    <row r="19" spans="1:22" ht="14.25">
      <c r="A19" s="50">
        <v>11</v>
      </c>
      <c r="B19" s="51"/>
      <c r="C19" s="51">
        <v>76</v>
      </c>
      <c r="D19" s="52" t="s">
        <v>419</v>
      </c>
      <c r="E19" s="53" t="s">
        <v>1074</v>
      </c>
      <c r="F19" s="54" t="s">
        <v>599</v>
      </c>
      <c r="G19" s="55" t="s">
        <v>132</v>
      </c>
      <c r="H19" s="55" t="s">
        <v>131</v>
      </c>
      <c r="I19" s="55" t="s">
        <v>172</v>
      </c>
      <c r="J19" s="55"/>
      <c r="K19" s="186">
        <f t="shared" si="0"/>
        <v>835</v>
      </c>
      <c r="L19" s="257">
        <v>12.82</v>
      </c>
      <c r="M19" s="170">
        <v>-0.6</v>
      </c>
      <c r="N19" s="171">
        <v>0.189</v>
      </c>
      <c r="O19" s="172"/>
      <c r="P19" s="170"/>
      <c r="Q19" s="171"/>
      <c r="R19" s="189" t="str">
        <f t="shared" si="1"/>
        <v>I A</v>
      </c>
      <c r="S19" s="55" t="s">
        <v>750</v>
      </c>
      <c r="T19" s="6" t="s">
        <v>1075</v>
      </c>
      <c r="U19" s="6"/>
      <c r="V19" s="24">
        <v>1</v>
      </c>
    </row>
    <row r="20" spans="1:22" ht="14.25">
      <c r="A20" s="50">
        <v>12</v>
      </c>
      <c r="B20" s="51">
        <v>5</v>
      </c>
      <c r="C20" s="51" t="s">
        <v>1018</v>
      </c>
      <c r="D20" s="52" t="s">
        <v>917</v>
      </c>
      <c r="E20" s="53" t="s">
        <v>918</v>
      </c>
      <c r="F20" s="54" t="s">
        <v>919</v>
      </c>
      <c r="G20" s="55" t="s">
        <v>71</v>
      </c>
      <c r="H20" s="55" t="s">
        <v>72</v>
      </c>
      <c r="I20" s="55"/>
      <c r="J20" s="55" t="s">
        <v>107</v>
      </c>
      <c r="K20" s="186">
        <f t="shared" si="0"/>
        <v>821</v>
      </c>
      <c r="L20" s="257">
        <v>12.9</v>
      </c>
      <c r="M20" s="170">
        <v>-1</v>
      </c>
      <c r="N20" s="170" t="s">
        <v>300</v>
      </c>
      <c r="O20" s="172"/>
      <c r="P20" s="170"/>
      <c r="Q20" s="171"/>
      <c r="R20" s="189" t="str">
        <f t="shared" si="1"/>
        <v>I A</v>
      </c>
      <c r="S20" s="55" t="s">
        <v>604</v>
      </c>
      <c r="T20" s="6" t="s">
        <v>1019</v>
      </c>
      <c r="U20" s="6"/>
      <c r="V20" s="24">
        <v>2</v>
      </c>
    </row>
    <row r="21" spans="1:22" ht="14.25">
      <c r="A21" s="50">
        <v>13</v>
      </c>
      <c r="B21" s="51"/>
      <c r="C21" s="51" t="s">
        <v>1047</v>
      </c>
      <c r="D21" s="52" t="s">
        <v>917</v>
      </c>
      <c r="E21" s="53" t="s">
        <v>1048</v>
      </c>
      <c r="F21" s="54" t="s">
        <v>1049</v>
      </c>
      <c r="G21" s="55" t="s">
        <v>71</v>
      </c>
      <c r="H21" s="55" t="s">
        <v>72</v>
      </c>
      <c r="I21" s="55" t="s">
        <v>356</v>
      </c>
      <c r="J21" s="55"/>
      <c r="K21" s="186">
        <f t="shared" si="0"/>
        <v>803</v>
      </c>
      <c r="L21" s="257">
        <v>13</v>
      </c>
      <c r="M21" s="170">
        <v>-0.5</v>
      </c>
      <c r="N21" s="170" t="s">
        <v>300</v>
      </c>
      <c r="O21" s="172"/>
      <c r="P21" s="170"/>
      <c r="Q21" s="171"/>
      <c r="R21" s="189" t="str">
        <f t="shared" si="1"/>
        <v>I A</v>
      </c>
      <c r="S21" s="55" t="s">
        <v>156</v>
      </c>
      <c r="T21" s="6" t="s">
        <v>1050</v>
      </c>
      <c r="U21" s="6"/>
      <c r="V21" s="24">
        <v>4</v>
      </c>
    </row>
    <row r="22" spans="1:22" ht="14.25">
      <c r="A22" s="50">
        <v>14</v>
      </c>
      <c r="B22" s="51">
        <v>6</v>
      </c>
      <c r="C22" s="51" t="s">
        <v>1076</v>
      </c>
      <c r="D22" s="52" t="s">
        <v>1077</v>
      </c>
      <c r="E22" s="53" t="s">
        <v>1078</v>
      </c>
      <c r="F22" s="54" t="s">
        <v>1079</v>
      </c>
      <c r="G22" s="55" t="s">
        <v>83</v>
      </c>
      <c r="H22" s="55" t="s">
        <v>237</v>
      </c>
      <c r="I22" s="55" t="s">
        <v>702</v>
      </c>
      <c r="J22" s="55" t="s">
        <v>287</v>
      </c>
      <c r="K22" s="186">
        <f t="shared" si="0"/>
        <v>789</v>
      </c>
      <c r="L22" s="257">
        <v>13.08</v>
      </c>
      <c r="M22" s="170">
        <v>-0.6</v>
      </c>
      <c r="N22" s="171">
        <v>0.316</v>
      </c>
      <c r="O22" s="172"/>
      <c r="P22" s="170"/>
      <c r="Q22" s="171"/>
      <c r="R22" s="189" t="str">
        <f t="shared" si="1"/>
        <v>II A</v>
      </c>
      <c r="S22" s="55" t="s">
        <v>742</v>
      </c>
      <c r="T22" s="6" t="s">
        <v>466</v>
      </c>
      <c r="U22" s="6"/>
      <c r="V22" s="24">
        <v>1</v>
      </c>
    </row>
    <row r="23" spans="1:22" ht="14.25">
      <c r="A23" s="50">
        <v>15</v>
      </c>
      <c r="B23" s="51"/>
      <c r="C23" s="51" t="s">
        <v>1080</v>
      </c>
      <c r="D23" s="52" t="s">
        <v>870</v>
      </c>
      <c r="E23" s="53" t="s">
        <v>1081</v>
      </c>
      <c r="F23" s="54" t="s">
        <v>1082</v>
      </c>
      <c r="G23" s="55" t="s">
        <v>83</v>
      </c>
      <c r="H23" s="55" t="s">
        <v>237</v>
      </c>
      <c r="I23" s="55"/>
      <c r="J23" s="55"/>
      <c r="K23" s="186">
        <f t="shared" si="0"/>
        <v>778</v>
      </c>
      <c r="L23" s="257">
        <v>13.14</v>
      </c>
      <c r="M23" s="170">
        <v>-0.6</v>
      </c>
      <c r="N23" s="171">
        <v>0.24</v>
      </c>
      <c r="O23" s="172"/>
      <c r="P23" s="170"/>
      <c r="Q23" s="171"/>
      <c r="R23" s="189" t="str">
        <f t="shared" si="1"/>
        <v>II A</v>
      </c>
      <c r="S23" s="55" t="s">
        <v>1083</v>
      </c>
      <c r="T23" s="6" t="s">
        <v>1084</v>
      </c>
      <c r="U23" s="6"/>
      <c r="V23" s="24">
        <v>1</v>
      </c>
    </row>
    <row r="24" spans="1:22" ht="14.25">
      <c r="A24" s="50">
        <v>16</v>
      </c>
      <c r="B24" s="51"/>
      <c r="C24" s="51">
        <v>174</v>
      </c>
      <c r="D24" s="52" t="s">
        <v>886</v>
      </c>
      <c r="E24" s="53" t="s">
        <v>887</v>
      </c>
      <c r="F24" s="54" t="s">
        <v>485</v>
      </c>
      <c r="G24" s="55" t="s">
        <v>83</v>
      </c>
      <c r="H24" s="55" t="s">
        <v>218</v>
      </c>
      <c r="I24" s="55" t="s">
        <v>84</v>
      </c>
      <c r="J24" s="55"/>
      <c r="K24" s="186">
        <f t="shared" si="0"/>
        <v>775</v>
      </c>
      <c r="L24" s="257">
        <v>13.16</v>
      </c>
      <c r="M24" s="170">
        <v>2</v>
      </c>
      <c r="N24" s="171">
        <v>0.294</v>
      </c>
      <c r="O24" s="172"/>
      <c r="P24" s="170"/>
      <c r="Q24" s="171"/>
      <c r="R24" s="189" t="str">
        <f t="shared" si="1"/>
        <v>II A</v>
      </c>
      <c r="S24" s="55" t="s">
        <v>219</v>
      </c>
      <c r="T24" s="6" t="s">
        <v>986</v>
      </c>
      <c r="U24" s="6"/>
      <c r="V24" s="24">
        <v>3</v>
      </c>
    </row>
    <row r="25" spans="1:22" ht="14.25">
      <c r="A25" s="50">
        <v>17</v>
      </c>
      <c r="B25" s="51"/>
      <c r="C25" s="51" t="s">
        <v>987</v>
      </c>
      <c r="D25" s="52" t="s">
        <v>988</v>
      </c>
      <c r="E25" s="53" t="s">
        <v>989</v>
      </c>
      <c r="F25" s="54" t="s">
        <v>990</v>
      </c>
      <c r="G25" s="55" t="s">
        <v>71</v>
      </c>
      <c r="H25" s="55" t="s">
        <v>72</v>
      </c>
      <c r="I25" s="55"/>
      <c r="J25" s="55"/>
      <c r="K25" s="186">
        <f t="shared" si="0"/>
        <v>769</v>
      </c>
      <c r="L25" s="257">
        <v>13.19</v>
      </c>
      <c r="M25" s="170">
        <v>2</v>
      </c>
      <c r="N25" s="171" t="s">
        <v>300</v>
      </c>
      <c r="O25" s="172"/>
      <c r="P25" s="170"/>
      <c r="Q25" s="171"/>
      <c r="R25" s="189" t="str">
        <f t="shared" si="1"/>
        <v>II A</v>
      </c>
      <c r="S25" s="55" t="s">
        <v>991</v>
      </c>
      <c r="T25" s="6" t="s">
        <v>992</v>
      </c>
      <c r="U25" s="6"/>
      <c r="V25" s="24">
        <v>3</v>
      </c>
    </row>
    <row r="26" spans="1:22" ht="14.25">
      <c r="A26" s="50">
        <v>18</v>
      </c>
      <c r="B26" s="51"/>
      <c r="C26" s="51" t="s">
        <v>993</v>
      </c>
      <c r="D26" s="52" t="s">
        <v>249</v>
      </c>
      <c r="E26" s="53" t="s">
        <v>994</v>
      </c>
      <c r="F26" s="54" t="s">
        <v>995</v>
      </c>
      <c r="G26" s="55" t="s">
        <v>71</v>
      </c>
      <c r="H26" s="55" t="s">
        <v>72</v>
      </c>
      <c r="I26" s="55"/>
      <c r="J26" s="55"/>
      <c r="K26" s="186">
        <f t="shared" si="0"/>
        <v>754</v>
      </c>
      <c r="L26" s="257">
        <v>13.28</v>
      </c>
      <c r="M26" s="170">
        <v>2</v>
      </c>
      <c r="N26" s="171">
        <v>0.218</v>
      </c>
      <c r="O26" s="172"/>
      <c r="P26" s="170"/>
      <c r="Q26" s="171"/>
      <c r="R26" s="189" t="str">
        <f t="shared" si="1"/>
        <v>II A</v>
      </c>
      <c r="S26" s="55" t="s">
        <v>156</v>
      </c>
      <c r="T26" s="6" t="s">
        <v>466</v>
      </c>
      <c r="U26" s="6"/>
      <c r="V26" s="24">
        <v>3</v>
      </c>
    </row>
    <row r="27" spans="1:22" ht="14.25">
      <c r="A27" s="50">
        <v>19</v>
      </c>
      <c r="B27" s="51"/>
      <c r="C27" s="51">
        <v>157</v>
      </c>
      <c r="D27" s="52" t="s">
        <v>387</v>
      </c>
      <c r="E27" s="53" t="s">
        <v>1020</v>
      </c>
      <c r="F27" s="54" t="s">
        <v>1021</v>
      </c>
      <c r="G27" s="55" t="s">
        <v>83</v>
      </c>
      <c r="H27" s="55" t="s">
        <v>243</v>
      </c>
      <c r="I27" s="55"/>
      <c r="J27" s="55"/>
      <c r="K27" s="186">
        <f t="shared" si="0"/>
        <v>720</v>
      </c>
      <c r="L27" s="257">
        <v>13.48</v>
      </c>
      <c r="M27" s="170">
        <v>-1</v>
      </c>
      <c r="N27" s="170" t="s">
        <v>300</v>
      </c>
      <c r="O27" s="172"/>
      <c r="P27" s="170"/>
      <c r="Q27" s="171"/>
      <c r="R27" s="189" t="str">
        <f t="shared" si="1"/>
        <v>II A</v>
      </c>
      <c r="S27" s="55" t="s">
        <v>1022</v>
      </c>
      <c r="T27" s="6" t="s">
        <v>1023</v>
      </c>
      <c r="U27" s="6"/>
      <c r="V27" s="24">
        <v>2</v>
      </c>
    </row>
    <row r="28" spans="1:22" ht="14.25">
      <c r="A28" s="50">
        <v>20</v>
      </c>
      <c r="B28" s="51"/>
      <c r="C28" s="51" t="s">
        <v>1051</v>
      </c>
      <c r="D28" s="52" t="s">
        <v>1052</v>
      </c>
      <c r="E28" s="53" t="s">
        <v>1053</v>
      </c>
      <c r="F28" s="54" t="s">
        <v>1054</v>
      </c>
      <c r="G28" s="55" t="s">
        <v>35</v>
      </c>
      <c r="H28" s="55" t="s">
        <v>44</v>
      </c>
      <c r="I28" s="55"/>
      <c r="J28" s="55"/>
      <c r="K28" s="186">
        <f t="shared" si="0"/>
        <v>706</v>
      </c>
      <c r="L28" s="257">
        <v>13.56</v>
      </c>
      <c r="M28" s="170">
        <v>-0.5</v>
      </c>
      <c r="N28" s="170" t="s">
        <v>300</v>
      </c>
      <c r="O28" s="172"/>
      <c r="P28" s="170"/>
      <c r="Q28" s="171"/>
      <c r="R28" s="189" t="str">
        <f t="shared" si="1"/>
        <v>II A</v>
      </c>
      <c r="S28" s="55" t="s">
        <v>46</v>
      </c>
      <c r="T28" s="6" t="s">
        <v>1055</v>
      </c>
      <c r="U28" s="6"/>
      <c r="V28" s="24">
        <v>1</v>
      </c>
    </row>
    <row r="29" spans="1:22" ht="14.25">
      <c r="A29" s="50">
        <v>21</v>
      </c>
      <c r="B29" s="51"/>
      <c r="C29" s="51" t="s">
        <v>996</v>
      </c>
      <c r="D29" s="52" t="s">
        <v>997</v>
      </c>
      <c r="E29" s="53" t="s">
        <v>998</v>
      </c>
      <c r="F29" s="54" t="s">
        <v>999</v>
      </c>
      <c r="G29" s="55" t="s">
        <v>1000</v>
      </c>
      <c r="H29" s="55" t="s">
        <v>72</v>
      </c>
      <c r="I29" s="55" t="s">
        <v>770</v>
      </c>
      <c r="J29" s="55"/>
      <c r="K29" s="186">
        <f t="shared" si="0"/>
        <v>691</v>
      </c>
      <c r="L29" s="257">
        <v>13.65</v>
      </c>
      <c r="M29" s="170">
        <v>2</v>
      </c>
      <c r="N29" s="171" t="s">
        <v>300</v>
      </c>
      <c r="O29" s="172"/>
      <c r="P29" s="170"/>
      <c r="Q29" s="171"/>
      <c r="R29" s="189" t="str">
        <f t="shared" si="1"/>
        <v>II A</v>
      </c>
      <c r="S29" s="55" t="s">
        <v>205</v>
      </c>
      <c r="T29" s="6" t="s">
        <v>1001</v>
      </c>
      <c r="U29" s="6"/>
      <c r="V29" s="24">
        <v>3</v>
      </c>
    </row>
    <row r="30" spans="1:22" ht="14.25">
      <c r="A30" s="50">
        <v>22</v>
      </c>
      <c r="B30" s="51">
        <v>7</v>
      </c>
      <c r="C30" s="51" t="s">
        <v>1024</v>
      </c>
      <c r="D30" s="52" t="s">
        <v>419</v>
      </c>
      <c r="E30" s="53" t="s">
        <v>1025</v>
      </c>
      <c r="F30" s="54" t="s">
        <v>1026</v>
      </c>
      <c r="G30" s="55" t="s">
        <v>132</v>
      </c>
      <c r="H30" s="55" t="s">
        <v>701</v>
      </c>
      <c r="I30" s="55" t="s">
        <v>702</v>
      </c>
      <c r="J30" s="55" t="s">
        <v>171</v>
      </c>
      <c r="K30" s="186">
        <f t="shared" si="0"/>
        <v>685</v>
      </c>
      <c r="L30" s="257">
        <v>13.69</v>
      </c>
      <c r="M30" s="170">
        <v>-1</v>
      </c>
      <c r="N30" s="170">
        <v>0.274</v>
      </c>
      <c r="O30" s="172"/>
      <c r="P30" s="170"/>
      <c r="Q30" s="171"/>
      <c r="R30" s="189" t="str">
        <f t="shared" si="1"/>
        <v>II A</v>
      </c>
      <c r="S30" s="55" t="s">
        <v>1027</v>
      </c>
      <c r="T30" s="6" t="s">
        <v>466</v>
      </c>
      <c r="V30" s="24">
        <v>2</v>
      </c>
    </row>
    <row r="31" spans="1:22" ht="14.25">
      <c r="A31" s="50">
        <v>23</v>
      </c>
      <c r="B31" s="51"/>
      <c r="C31" s="51">
        <v>60</v>
      </c>
      <c r="D31" s="52" t="s">
        <v>1085</v>
      </c>
      <c r="E31" s="53" t="s">
        <v>1086</v>
      </c>
      <c r="F31" s="54" t="s">
        <v>1087</v>
      </c>
      <c r="G31" s="55" t="s">
        <v>50</v>
      </c>
      <c r="H31" s="55" t="s">
        <v>51</v>
      </c>
      <c r="I31" s="55" t="s">
        <v>511</v>
      </c>
      <c r="J31" s="55"/>
      <c r="K31" s="186">
        <f t="shared" si="0"/>
        <v>654</v>
      </c>
      <c r="L31" s="257">
        <v>13.88</v>
      </c>
      <c r="M31" s="170">
        <v>-0.6</v>
      </c>
      <c r="N31" s="170" t="s">
        <v>300</v>
      </c>
      <c r="O31" s="172"/>
      <c r="P31" s="170"/>
      <c r="Q31" s="171"/>
      <c r="R31" s="189" t="str">
        <f t="shared" si="1"/>
        <v>III A</v>
      </c>
      <c r="S31" s="55" t="s">
        <v>512</v>
      </c>
      <c r="T31" s="6" t="s">
        <v>1088</v>
      </c>
      <c r="U31" s="6"/>
      <c r="V31" s="24">
        <v>4</v>
      </c>
    </row>
    <row r="32" spans="1:22" ht="14.25">
      <c r="A32" s="50">
        <v>24</v>
      </c>
      <c r="B32" s="51">
        <v>8</v>
      </c>
      <c r="C32" s="51">
        <v>196</v>
      </c>
      <c r="D32" s="52" t="s">
        <v>1056</v>
      </c>
      <c r="E32" s="53" t="s">
        <v>1057</v>
      </c>
      <c r="F32" s="54" t="s">
        <v>1058</v>
      </c>
      <c r="G32" s="55" t="s">
        <v>22</v>
      </c>
      <c r="H32" s="55"/>
      <c r="I32" s="55"/>
      <c r="J32" s="55" t="s">
        <v>107</v>
      </c>
      <c r="K32" s="186">
        <f t="shared" si="0"/>
        <v>647</v>
      </c>
      <c r="L32" s="257">
        <v>13.92</v>
      </c>
      <c r="M32" s="170">
        <v>-0.5</v>
      </c>
      <c r="N32" s="170" t="s">
        <v>300</v>
      </c>
      <c r="O32" s="172"/>
      <c r="P32" s="170"/>
      <c r="Q32" s="171"/>
      <c r="R32" s="189" t="str">
        <f t="shared" si="1"/>
        <v>III A</v>
      </c>
      <c r="S32" s="55" t="s">
        <v>1059</v>
      </c>
      <c r="T32" s="6" t="s">
        <v>466</v>
      </c>
      <c r="U32" s="6"/>
      <c r="V32" s="24">
        <v>4</v>
      </c>
    </row>
    <row r="33" spans="1:22" ht="14.25">
      <c r="A33" s="50">
        <v>25</v>
      </c>
      <c r="B33" s="51"/>
      <c r="C33" s="51">
        <v>59</v>
      </c>
      <c r="D33" s="52" t="s">
        <v>1060</v>
      </c>
      <c r="E33" s="53" t="s">
        <v>1061</v>
      </c>
      <c r="F33" s="54" t="s">
        <v>1062</v>
      </c>
      <c r="G33" s="55" t="s">
        <v>50</v>
      </c>
      <c r="H33" s="55" t="s">
        <v>51</v>
      </c>
      <c r="I33" s="55" t="s">
        <v>511</v>
      </c>
      <c r="J33" s="55"/>
      <c r="K33" s="186">
        <f t="shared" si="0"/>
        <v>639</v>
      </c>
      <c r="L33" s="257">
        <v>13.97</v>
      </c>
      <c r="M33" s="170">
        <v>-0.5</v>
      </c>
      <c r="N33" s="170" t="s">
        <v>300</v>
      </c>
      <c r="O33" s="172"/>
      <c r="P33" s="170"/>
      <c r="Q33" s="171"/>
      <c r="R33" s="189" t="str">
        <f t="shared" si="1"/>
        <v>III A</v>
      </c>
      <c r="S33" s="55" t="s">
        <v>512</v>
      </c>
      <c r="T33" s="6" t="s">
        <v>1063</v>
      </c>
      <c r="U33" s="6"/>
      <c r="V33" s="24">
        <v>4</v>
      </c>
    </row>
    <row r="34" spans="1:22" ht="14.25">
      <c r="A34" s="50">
        <v>26</v>
      </c>
      <c r="B34" s="51"/>
      <c r="C34" s="51">
        <v>260</v>
      </c>
      <c r="D34" s="52" t="s">
        <v>1002</v>
      </c>
      <c r="E34" s="53" t="s">
        <v>1003</v>
      </c>
      <c r="F34" s="54" t="s">
        <v>1004</v>
      </c>
      <c r="G34" s="55" t="s">
        <v>142</v>
      </c>
      <c r="H34" s="55" t="s">
        <v>141</v>
      </c>
      <c r="I34" s="55"/>
      <c r="J34" s="55"/>
      <c r="K34" s="186">
        <f t="shared" si="0"/>
        <v>538</v>
      </c>
      <c r="L34" s="257">
        <v>14.63</v>
      </c>
      <c r="M34" s="170">
        <v>2</v>
      </c>
      <c r="N34" s="171">
        <v>0.166</v>
      </c>
      <c r="O34" s="172"/>
      <c r="P34" s="170"/>
      <c r="Q34" s="171"/>
      <c r="R34" s="189" t="str">
        <f t="shared" si="1"/>
        <v>III A</v>
      </c>
      <c r="S34" s="55" t="s">
        <v>140</v>
      </c>
      <c r="T34" s="6" t="s">
        <v>466</v>
      </c>
      <c r="U34" s="6"/>
      <c r="V34" s="24">
        <v>3</v>
      </c>
    </row>
    <row r="35" spans="1:22" ht="14.25">
      <c r="A35" s="50">
        <v>27</v>
      </c>
      <c r="B35" s="51"/>
      <c r="C35" s="51" t="s">
        <v>1089</v>
      </c>
      <c r="D35" s="52" t="s">
        <v>302</v>
      </c>
      <c r="E35" s="53" t="s">
        <v>1090</v>
      </c>
      <c r="F35" s="54" t="s">
        <v>1091</v>
      </c>
      <c r="G35" s="55" t="s">
        <v>118</v>
      </c>
      <c r="H35" s="55" t="s">
        <v>9</v>
      </c>
      <c r="I35" s="55" t="s">
        <v>117</v>
      </c>
      <c r="J35" s="55"/>
      <c r="K35" s="186">
        <f t="shared" si="0"/>
        <v>500</v>
      </c>
      <c r="L35" s="257">
        <v>14.9</v>
      </c>
      <c r="M35" s="170">
        <v>-0.6</v>
      </c>
      <c r="N35" s="171">
        <v>0.189</v>
      </c>
      <c r="O35" s="172"/>
      <c r="P35" s="170"/>
      <c r="Q35" s="171"/>
      <c r="R35" s="189" t="str">
        <f t="shared" si="1"/>
        <v>III A</v>
      </c>
      <c r="S35" s="55" t="s">
        <v>116</v>
      </c>
      <c r="T35" s="6" t="s">
        <v>466</v>
      </c>
      <c r="U35" s="6"/>
      <c r="V35" s="24">
        <v>1</v>
      </c>
    </row>
    <row r="36" spans="1:22" ht="14.25">
      <c r="A36" s="50">
        <v>28</v>
      </c>
      <c r="B36" s="51">
        <v>9</v>
      </c>
      <c r="C36" s="51">
        <v>195</v>
      </c>
      <c r="D36" s="52" t="s">
        <v>1064</v>
      </c>
      <c r="E36" s="53" t="s">
        <v>1065</v>
      </c>
      <c r="F36" s="54" t="s">
        <v>1066</v>
      </c>
      <c r="G36" s="55" t="s">
        <v>22</v>
      </c>
      <c r="H36" s="55"/>
      <c r="I36" s="55"/>
      <c r="J36" s="55" t="s">
        <v>107</v>
      </c>
      <c r="K36" s="186">
        <f t="shared" si="0"/>
        <v>434</v>
      </c>
      <c r="L36" s="257">
        <v>15.38</v>
      </c>
      <c r="M36" s="170">
        <v>-0.5</v>
      </c>
      <c r="N36" s="170" t="s">
        <v>300</v>
      </c>
      <c r="O36" s="172"/>
      <c r="P36" s="170"/>
      <c r="Q36" s="171"/>
      <c r="R36" s="189">
        <f t="shared" si="1"/>
      </c>
      <c r="S36" s="55" t="s">
        <v>1067</v>
      </c>
      <c r="T36" s="6" t="s">
        <v>466</v>
      </c>
      <c r="U36" s="6"/>
      <c r="V36" s="24">
        <v>4</v>
      </c>
    </row>
    <row r="37" spans="1:22" ht="14.25">
      <c r="A37" s="50"/>
      <c r="B37" s="51"/>
      <c r="C37" s="51" t="s">
        <v>1028</v>
      </c>
      <c r="D37" s="52" t="s">
        <v>1029</v>
      </c>
      <c r="E37" s="53" t="s">
        <v>1030</v>
      </c>
      <c r="F37" s="54" t="s">
        <v>1031</v>
      </c>
      <c r="G37" s="55" t="s">
        <v>22</v>
      </c>
      <c r="H37" s="55"/>
      <c r="I37" s="55"/>
      <c r="J37" s="55" t="s">
        <v>23</v>
      </c>
      <c r="K37" s="186"/>
      <c r="L37" s="257" t="s">
        <v>110</v>
      </c>
      <c r="M37" s="170"/>
      <c r="N37" s="170"/>
      <c r="O37" s="172"/>
      <c r="P37" s="170"/>
      <c r="Q37" s="171"/>
      <c r="R37" s="189">
        <f t="shared" si="1"/>
      </c>
      <c r="S37" s="55" t="s">
        <v>1032</v>
      </c>
      <c r="T37" s="6">
        <v>12.8</v>
      </c>
      <c r="U37" s="6"/>
      <c r="V37" s="24">
        <v>2</v>
      </c>
    </row>
    <row r="39" spans="11:18" ht="14.25">
      <c r="K39" s="186">
        <f>IF(ISBLANK(O39),"",TRUNC(9.92*(O39-22)^2))</f>
        <v>999</v>
      </c>
      <c r="L39" s="186"/>
      <c r="M39" s="186"/>
      <c r="N39" s="186"/>
      <c r="O39" s="257">
        <v>11.96</v>
      </c>
      <c r="P39" s="170">
        <v>2</v>
      </c>
      <c r="Q39" s="171">
        <v>0.253</v>
      </c>
      <c r="R39" s="189" t="str">
        <f>IF(ISBLANK(O39),"",IF(O39&gt;14.94,"",IF(O39&lt;=11.4,"TSM",IF(O39&lt;=11.84,"SM",IF(O39&lt;=12.4,"KSM",IF(O39&lt;=13.04,"I A",IF(O39&lt;=13.84,"II A",IF(O39&lt;=14.94,"III A"))))))))</f>
        <v>KSM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5"/>
  <sheetViews>
    <sheetView showZeros="0" zoomScalePageLayoutView="0" workbookViewId="0" topLeftCell="A1">
      <selection activeCell="U4" sqref="U4"/>
    </sheetView>
  </sheetViews>
  <sheetFormatPr defaultColWidth="9.140625" defaultRowHeight="15"/>
  <cols>
    <col min="1" max="2" width="4.140625" style="74" customWidth="1"/>
    <col min="3" max="3" width="3.8515625" style="69" hidden="1" customWidth="1"/>
    <col min="4" max="4" width="8.00390625" style="69" customWidth="1"/>
    <col min="5" max="5" width="13.7109375" style="69" customWidth="1"/>
    <col min="6" max="6" width="7.00390625" style="69" bestFit="1" customWidth="1"/>
    <col min="7" max="7" width="10.140625" style="69" customWidth="1"/>
    <col min="8" max="8" width="6.421875" style="69" customWidth="1"/>
    <col min="9" max="9" width="11.28125" style="69" customWidth="1"/>
    <col min="10" max="10" width="5.140625" style="69" bestFit="1" customWidth="1"/>
    <col min="11" max="11" width="5.140625" style="110" customWidth="1"/>
    <col min="12" max="14" width="4.7109375" style="77" customWidth="1"/>
    <col min="15" max="15" width="3.140625" style="77" bestFit="1" customWidth="1"/>
    <col min="16" max="18" width="4.7109375" style="77" customWidth="1"/>
    <col min="19" max="19" width="5.57421875" style="77" customWidth="1"/>
    <col min="20" max="20" width="5.57421875" style="110" customWidth="1"/>
    <col min="21" max="21" width="16.140625" style="69" customWidth="1"/>
    <col min="22" max="16384" width="9.140625" style="69" customWidth="1"/>
  </cols>
  <sheetData>
    <row r="1" spans="1:21" ht="20.25">
      <c r="A1" s="66" t="s">
        <v>0</v>
      </c>
      <c r="B1" s="66"/>
      <c r="C1" s="67"/>
      <c r="D1" s="68"/>
      <c r="F1" s="68"/>
      <c r="G1" s="68"/>
      <c r="H1" s="68"/>
      <c r="I1" s="68"/>
      <c r="J1" s="68"/>
      <c r="K1" s="69"/>
      <c r="L1" s="69"/>
      <c r="M1" s="70"/>
      <c r="N1" s="69"/>
      <c r="O1" s="69"/>
      <c r="P1" s="69"/>
      <c r="Q1" s="69"/>
      <c r="R1" s="69"/>
      <c r="S1" s="69"/>
      <c r="T1" s="69"/>
      <c r="U1" s="4"/>
    </row>
    <row r="2" spans="1:21" ht="18.75">
      <c r="A2" s="71" t="s">
        <v>1</v>
      </c>
      <c r="B2" s="72"/>
      <c r="C2" s="73"/>
      <c r="D2" s="68"/>
      <c r="F2" s="68"/>
      <c r="G2" s="68"/>
      <c r="H2" s="68"/>
      <c r="I2" s="68"/>
      <c r="J2" s="68"/>
      <c r="K2" s="69"/>
      <c r="L2" s="69"/>
      <c r="M2" s="70"/>
      <c r="N2" s="69"/>
      <c r="O2" s="69"/>
      <c r="P2" s="69"/>
      <c r="Q2" s="69"/>
      <c r="R2" s="69"/>
      <c r="S2" s="69"/>
      <c r="T2" s="69"/>
      <c r="U2" s="18" t="s">
        <v>2</v>
      </c>
    </row>
    <row r="3" spans="4:20" ht="6.75" customHeight="1">
      <c r="D3" s="75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5" s="79" customFormat="1" ht="18.75" customHeight="1">
      <c r="A4" s="76"/>
      <c r="B4" s="76"/>
      <c r="C4" s="77"/>
      <c r="D4" s="78" t="s">
        <v>847</v>
      </c>
      <c r="E4" s="78"/>
      <c r="K4" s="77"/>
      <c r="L4" s="80"/>
      <c r="M4" s="77"/>
      <c r="N4" s="77"/>
      <c r="O4" s="77"/>
      <c r="P4" s="77"/>
      <c r="Q4" s="77"/>
      <c r="R4" s="77"/>
      <c r="S4" s="77"/>
      <c r="T4" s="77"/>
      <c r="U4" s="27" t="s">
        <v>1236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9" customFormat="1" ht="6" customHeight="1" thickBot="1">
      <c r="A5" s="76"/>
      <c r="B5" s="76"/>
      <c r="C5" s="77"/>
      <c r="D5" s="78"/>
      <c r="E5" s="78"/>
      <c r="K5" s="77"/>
      <c r="L5" s="80"/>
      <c r="M5" s="77"/>
      <c r="N5" s="77"/>
      <c r="O5" s="77"/>
      <c r="P5" s="77"/>
      <c r="Q5" s="77"/>
      <c r="R5" s="77"/>
      <c r="S5" s="77"/>
      <c r="T5" s="77"/>
      <c r="U5" s="2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0" s="81" customFormat="1" ht="13.5" thickBot="1">
      <c r="A6" s="74"/>
      <c r="B6" s="74"/>
      <c r="F6" s="79"/>
      <c r="K6" s="82"/>
      <c r="L6" s="316" t="s">
        <v>179</v>
      </c>
      <c r="M6" s="317"/>
      <c r="N6" s="317"/>
      <c r="O6" s="317"/>
      <c r="P6" s="317"/>
      <c r="Q6" s="317"/>
      <c r="R6" s="318"/>
      <c r="S6" s="82"/>
      <c r="T6" s="82"/>
    </row>
    <row r="7" spans="1:21" s="95" customFormat="1" ht="22.5" customHeight="1" thickBot="1">
      <c r="A7" s="83" t="s">
        <v>109</v>
      </c>
      <c r="B7" s="84" t="s">
        <v>17</v>
      </c>
      <c r="C7" s="85" t="s">
        <v>4</v>
      </c>
      <c r="D7" s="86" t="s">
        <v>5</v>
      </c>
      <c r="E7" s="87" t="s">
        <v>6</v>
      </c>
      <c r="F7" s="88" t="s">
        <v>7</v>
      </c>
      <c r="G7" s="89" t="s">
        <v>8</v>
      </c>
      <c r="H7" s="89" t="s">
        <v>9</v>
      </c>
      <c r="I7" s="89" t="s">
        <v>10</v>
      </c>
      <c r="J7" s="44" t="s">
        <v>11</v>
      </c>
      <c r="K7" s="89" t="s">
        <v>12</v>
      </c>
      <c r="L7" s="90">
        <v>1</v>
      </c>
      <c r="M7" s="91">
        <v>2</v>
      </c>
      <c r="N7" s="91">
        <v>3</v>
      </c>
      <c r="O7" s="92" t="s">
        <v>180</v>
      </c>
      <c r="P7" s="91">
        <v>4</v>
      </c>
      <c r="Q7" s="91">
        <v>5</v>
      </c>
      <c r="R7" s="93">
        <v>6</v>
      </c>
      <c r="S7" s="94" t="s">
        <v>181</v>
      </c>
      <c r="T7" s="89" t="s">
        <v>14</v>
      </c>
      <c r="U7" s="89" t="s">
        <v>15</v>
      </c>
    </row>
    <row r="8" spans="1:21" ht="12.75">
      <c r="A8" s="220">
        <v>1</v>
      </c>
      <c r="B8" s="220"/>
      <c r="C8" s="220">
        <v>85</v>
      </c>
      <c r="D8" s="221" t="s">
        <v>387</v>
      </c>
      <c r="E8" s="222" t="s">
        <v>848</v>
      </c>
      <c r="F8" s="223" t="s">
        <v>636</v>
      </c>
      <c r="G8" s="224" t="s">
        <v>71</v>
      </c>
      <c r="H8" s="224" t="s">
        <v>72</v>
      </c>
      <c r="I8" s="225" t="s">
        <v>189</v>
      </c>
      <c r="J8" s="226"/>
      <c r="K8" s="227">
        <f>IF(ISBLANK(S8),"",TRUNC(1.966*(S8+49.24)^2)-5000)</f>
        <v>979</v>
      </c>
      <c r="L8" s="228" t="s">
        <v>190</v>
      </c>
      <c r="M8" s="228" t="s">
        <v>190</v>
      </c>
      <c r="N8" s="228">
        <v>5.82</v>
      </c>
      <c r="O8" s="229">
        <v>7</v>
      </c>
      <c r="P8" s="230">
        <v>5.91</v>
      </c>
      <c r="Q8" s="230" t="s">
        <v>190</v>
      </c>
      <c r="R8" s="230" t="s">
        <v>190</v>
      </c>
      <c r="S8" s="231">
        <f>MAX(L8:N8,P8:R8)</f>
        <v>5.91</v>
      </c>
      <c r="T8" s="232" t="str">
        <f aca="true" t="shared" si="0" ref="T8:T51">IF(ISBLANK(S8),"",IF(S8&lt;4.6,"",IF(S8&gt;=6.62,"TSM",IF(S8&gt;=6.35,"SM",IF(S8&gt;=6,"KSM",IF(S8&gt;=5.6,"I A",IF(S8&gt;=5.15,"II A",IF(S8&gt;=4.6,"III A"))))))))</f>
        <v>I A</v>
      </c>
      <c r="U8" s="233" t="s">
        <v>849</v>
      </c>
    </row>
    <row r="9" spans="1:21" ht="12.75">
      <c r="A9" s="234">
        <f>A8</f>
        <v>1</v>
      </c>
      <c r="B9" s="234"/>
      <c r="C9" s="235"/>
      <c r="D9" s="236"/>
      <c r="E9" s="237"/>
      <c r="F9" s="238"/>
      <c r="G9" s="239"/>
      <c r="H9" s="239"/>
      <c r="I9" s="240"/>
      <c r="J9" s="241"/>
      <c r="K9" s="242"/>
      <c r="L9" s="243">
        <v>-0.2</v>
      </c>
      <c r="M9" s="243">
        <v>3.3</v>
      </c>
      <c r="N9" s="243">
        <v>0.5</v>
      </c>
      <c r="O9" s="244"/>
      <c r="P9" s="245">
        <v>1.6</v>
      </c>
      <c r="Q9" s="245">
        <v>2.2</v>
      </c>
      <c r="R9" s="245">
        <v>3.8</v>
      </c>
      <c r="S9" s="246">
        <f>S8</f>
        <v>5.91</v>
      </c>
      <c r="T9" s="247" t="str">
        <f t="shared" si="0"/>
        <v>I A</v>
      </c>
      <c r="U9" s="248" t="s">
        <v>850</v>
      </c>
    </row>
    <row r="10" spans="1:21" ht="12.75">
      <c r="A10" s="220">
        <v>2</v>
      </c>
      <c r="B10" s="220">
        <v>1</v>
      </c>
      <c r="C10" s="220">
        <v>171</v>
      </c>
      <c r="D10" s="221" t="s">
        <v>307</v>
      </c>
      <c r="E10" s="222" t="s">
        <v>308</v>
      </c>
      <c r="F10" s="223" t="s">
        <v>309</v>
      </c>
      <c r="G10" s="224" t="s">
        <v>310</v>
      </c>
      <c r="H10" s="224"/>
      <c r="I10" s="225" t="s">
        <v>84</v>
      </c>
      <c r="J10" s="226" t="s">
        <v>437</v>
      </c>
      <c r="K10" s="227">
        <f>IF(ISBLANK(S10),"",TRUNC(1.966*(S10+49.24)^2)-5000)</f>
        <v>968</v>
      </c>
      <c r="L10" s="228" t="s">
        <v>466</v>
      </c>
      <c r="M10" s="228">
        <v>5.68</v>
      </c>
      <c r="N10" s="228">
        <v>5.86</v>
      </c>
      <c r="O10" s="229">
        <v>8</v>
      </c>
      <c r="P10" s="230">
        <v>5.57</v>
      </c>
      <c r="Q10" s="230" t="s">
        <v>190</v>
      </c>
      <c r="R10" s="230">
        <v>5.78</v>
      </c>
      <c r="S10" s="231">
        <f>MAX(L10:N10,P10:R10)</f>
        <v>5.86</v>
      </c>
      <c r="T10" s="232" t="str">
        <f t="shared" si="0"/>
        <v>I A</v>
      </c>
      <c r="U10" s="233" t="s">
        <v>851</v>
      </c>
    </row>
    <row r="11" spans="1:21" ht="12.75">
      <c r="A11" s="234">
        <f>A10</f>
        <v>2</v>
      </c>
      <c r="B11" s="234"/>
      <c r="C11" s="235"/>
      <c r="D11" s="236"/>
      <c r="E11" s="237"/>
      <c r="F11" s="238"/>
      <c r="G11" s="239"/>
      <c r="H11" s="239"/>
      <c r="I11" s="240"/>
      <c r="J11" s="241"/>
      <c r="K11" s="242"/>
      <c r="L11" s="243"/>
      <c r="M11" s="243">
        <v>0.8</v>
      </c>
      <c r="N11" s="243">
        <v>3.3</v>
      </c>
      <c r="O11" s="244"/>
      <c r="P11" s="245">
        <v>1</v>
      </c>
      <c r="Q11" s="245">
        <v>3.6</v>
      </c>
      <c r="R11" s="245">
        <v>1.7</v>
      </c>
      <c r="S11" s="246">
        <f>S10</f>
        <v>5.86</v>
      </c>
      <c r="T11" s="247" t="str">
        <f t="shared" si="0"/>
        <v>I A</v>
      </c>
      <c r="U11" s="248" t="s">
        <v>852</v>
      </c>
    </row>
    <row r="12" spans="1:21" ht="12.75">
      <c r="A12" s="220">
        <v>3</v>
      </c>
      <c r="B12" s="220"/>
      <c r="C12" s="220">
        <v>27</v>
      </c>
      <c r="D12" s="221" t="s">
        <v>853</v>
      </c>
      <c r="E12" s="222" t="s">
        <v>854</v>
      </c>
      <c r="F12" s="223" t="s">
        <v>855</v>
      </c>
      <c r="G12" s="224" t="s">
        <v>546</v>
      </c>
      <c r="H12" s="224" t="s">
        <v>579</v>
      </c>
      <c r="I12" s="225" t="s">
        <v>580</v>
      </c>
      <c r="J12" s="226"/>
      <c r="K12" s="227">
        <f>IF(ISBLANK(S12),"",TRUNC(1.966*(S12+49.24)^2)-5000)</f>
        <v>960</v>
      </c>
      <c r="L12" s="228" t="s">
        <v>190</v>
      </c>
      <c r="M12" s="228">
        <v>5.74</v>
      </c>
      <c r="N12" s="228">
        <v>5.67</v>
      </c>
      <c r="O12" s="229">
        <v>5</v>
      </c>
      <c r="P12" s="230">
        <v>5.82</v>
      </c>
      <c r="Q12" s="230">
        <v>4.84</v>
      </c>
      <c r="R12" s="230">
        <v>5.59</v>
      </c>
      <c r="S12" s="231">
        <f>MAX(L12:N12,P12:R12)</f>
        <v>5.82</v>
      </c>
      <c r="T12" s="232" t="str">
        <f t="shared" si="0"/>
        <v>I A</v>
      </c>
      <c r="U12" s="233" t="s">
        <v>856</v>
      </c>
    </row>
    <row r="13" spans="1:21" ht="12.75">
      <c r="A13" s="234">
        <f>A12</f>
        <v>3</v>
      </c>
      <c r="B13" s="234"/>
      <c r="C13" s="235"/>
      <c r="D13" s="236"/>
      <c r="E13" s="237"/>
      <c r="F13" s="238"/>
      <c r="G13" s="239"/>
      <c r="H13" s="239"/>
      <c r="I13" s="240"/>
      <c r="J13" s="241"/>
      <c r="K13" s="242"/>
      <c r="L13" s="243">
        <v>0.5</v>
      </c>
      <c r="M13" s="243">
        <v>1.6</v>
      </c>
      <c r="N13" s="243">
        <v>2.9</v>
      </c>
      <c r="O13" s="244"/>
      <c r="P13" s="245">
        <v>3.1</v>
      </c>
      <c r="Q13" s="245">
        <v>1.7</v>
      </c>
      <c r="R13" s="245">
        <v>0.1</v>
      </c>
      <c r="S13" s="246">
        <f>S12</f>
        <v>5.82</v>
      </c>
      <c r="T13" s="247" t="str">
        <f t="shared" si="0"/>
        <v>I A</v>
      </c>
      <c r="U13" s="248" t="s">
        <v>857</v>
      </c>
    </row>
    <row r="14" spans="1:21" ht="12.75">
      <c r="A14" s="220">
        <v>4</v>
      </c>
      <c r="B14" s="220">
        <v>2</v>
      </c>
      <c r="C14" s="220">
        <v>143</v>
      </c>
      <c r="D14" s="221" t="s">
        <v>858</v>
      </c>
      <c r="E14" s="222" t="s">
        <v>859</v>
      </c>
      <c r="F14" s="223" t="s">
        <v>860</v>
      </c>
      <c r="G14" s="224" t="s">
        <v>71</v>
      </c>
      <c r="H14" s="224" t="s">
        <v>72</v>
      </c>
      <c r="I14" s="225" t="s">
        <v>73</v>
      </c>
      <c r="J14" s="226" t="s">
        <v>107</v>
      </c>
      <c r="K14" s="227">
        <f>IF(ISBLANK(S14),"",TRUNC(1.966*(S14+49.24)^2)-5000)</f>
        <v>949</v>
      </c>
      <c r="L14" s="228">
        <v>5.63</v>
      </c>
      <c r="M14" s="228">
        <v>5.77</v>
      </c>
      <c r="N14" s="230" t="s">
        <v>190</v>
      </c>
      <c r="O14" s="229">
        <v>6</v>
      </c>
      <c r="P14" s="230">
        <v>5.4</v>
      </c>
      <c r="Q14" s="230" t="s">
        <v>190</v>
      </c>
      <c r="R14" s="230" t="s">
        <v>190</v>
      </c>
      <c r="S14" s="231">
        <f>MAX(L14:N14,P14:R14)</f>
        <v>5.77</v>
      </c>
      <c r="T14" s="232" t="str">
        <f t="shared" si="0"/>
        <v>I A</v>
      </c>
      <c r="U14" s="233" t="s">
        <v>861</v>
      </c>
    </row>
    <row r="15" spans="1:21" ht="12.75">
      <c r="A15" s="234">
        <f>A14</f>
        <v>4</v>
      </c>
      <c r="B15" s="234"/>
      <c r="C15" s="235"/>
      <c r="D15" s="236"/>
      <c r="E15" s="237"/>
      <c r="F15" s="238"/>
      <c r="G15" s="239"/>
      <c r="H15" s="239"/>
      <c r="I15" s="240"/>
      <c r="J15" s="241"/>
      <c r="K15" s="242"/>
      <c r="L15" s="245">
        <v>1</v>
      </c>
      <c r="M15" s="245">
        <v>-0.2</v>
      </c>
      <c r="N15" s="245">
        <v>3.8</v>
      </c>
      <c r="O15" s="244"/>
      <c r="P15" s="245">
        <v>-0.3</v>
      </c>
      <c r="Q15" s="245">
        <v>0</v>
      </c>
      <c r="R15" s="245">
        <v>1</v>
      </c>
      <c r="S15" s="246">
        <f>S14</f>
        <v>5.77</v>
      </c>
      <c r="T15" s="247" t="str">
        <f t="shared" si="0"/>
        <v>I A</v>
      </c>
      <c r="U15" s="248"/>
    </row>
    <row r="16" spans="1:21" ht="12.75">
      <c r="A16" s="220">
        <v>5</v>
      </c>
      <c r="B16" s="220">
        <v>3</v>
      </c>
      <c r="C16" s="220">
        <v>123</v>
      </c>
      <c r="D16" s="221" t="s">
        <v>862</v>
      </c>
      <c r="E16" s="222" t="s">
        <v>863</v>
      </c>
      <c r="F16" s="223" t="s">
        <v>864</v>
      </c>
      <c r="G16" s="224" t="s">
        <v>71</v>
      </c>
      <c r="H16" s="224" t="s">
        <v>72</v>
      </c>
      <c r="I16" s="225" t="s">
        <v>45</v>
      </c>
      <c r="J16" s="226" t="s">
        <v>107</v>
      </c>
      <c r="K16" s="227">
        <f>IF(ISBLANK(S16),"",TRUNC(1.966*(S16+49.24)^2)-5000)</f>
        <v>936</v>
      </c>
      <c r="L16" s="228">
        <v>5.71</v>
      </c>
      <c r="M16" s="228" t="s">
        <v>190</v>
      </c>
      <c r="N16" s="228" t="s">
        <v>190</v>
      </c>
      <c r="O16" s="229">
        <v>4</v>
      </c>
      <c r="P16" s="230" t="s">
        <v>190</v>
      </c>
      <c r="Q16" s="230">
        <v>5.67</v>
      </c>
      <c r="R16" s="230">
        <v>5.62</v>
      </c>
      <c r="S16" s="231">
        <f>MAX(L16:N16,P16:R16)</f>
        <v>5.71</v>
      </c>
      <c r="T16" s="232" t="str">
        <f t="shared" si="0"/>
        <v>I A</v>
      </c>
      <c r="U16" s="233" t="s">
        <v>865</v>
      </c>
    </row>
    <row r="17" spans="1:21" ht="12.75">
      <c r="A17" s="234">
        <f>A16</f>
        <v>5</v>
      </c>
      <c r="B17" s="234"/>
      <c r="C17" s="235"/>
      <c r="D17" s="236"/>
      <c r="E17" s="237"/>
      <c r="F17" s="238"/>
      <c r="G17" s="239"/>
      <c r="H17" s="239"/>
      <c r="I17" s="240"/>
      <c r="J17" s="241"/>
      <c r="K17" s="242"/>
      <c r="L17" s="243">
        <v>2</v>
      </c>
      <c r="M17" s="243">
        <v>1.1</v>
      </c>
      <c r="N17" s="243">
        <v>1.2</v>
      </c>
      <c r="O17" s="244"/>
      <c r="P17" s="245">
        <v>1.3</v>
      </c>
      <c r="Q17" s="245">
        <v>1.1</v>
      </c>
      <c r="R17" s="245">
        <v>-0.2</v>
      </c>
      <c r="S17" s="246">
        <f>S16</f>
        <v>5.71</v>
      </c>
      <c r="T17" s="247" t="str">
        <f t="shared" si="0"/>
        <v>I A</v>
      </c>
      <c r="U17" s="248"/>
    </row>
    <row r="18" spans="1:21" ht="12.75">
      <c r="A18" s="220">
        <v>6</v>
      </c>
      <c r="B18" s="220"/>
      <c r="C18" s="220">
        <v>173</v>
      </c>
      <c r="D18" s="221" t="s">
        <v>866</v>
      </c>
      <c r="E18" s="222" t="s">
        <v>867</v>
      </c>
      <c r="F18" s="223" t="s">
        <v>868</v>
      </c>
      <c r="G18" s="224" t="s">
        <v>83</v>
      </c>
      <c r="H18" s="224" t="s">
        <v>243</v>
      </c>
      <c r="I18" s="225"/>
      <c r="J18" s="226"/>
      <c r="K18" s="227">
        <f>IF(ISBLANK(S18),"",TRUNC(1.966*(S18+49.24)^2)-5000)</f>
        <v>903</v>
      </c>
      <c r="L18" s="228">
        <v>5.56</v>
      </c>
      <c r="M18" s="228" t="s">
        <v>190</v>
      </c>
      <c r="N18" s="228" t="s">
        <v>190</v>
      </c>
      <c r="O18" s="229">
        <v>3</v>
      </c>
      <c r="P18" s="230" t="s">
        <v>190</v>
      </c>
      <c r="Q18" s="230">
        <v>4.62</v>
      </c>
      <c r="R18" s="230">
        <v>5.21</v>
      </c>
      <c r="S18" s="231">
        <f>MAX(L18:N18,P18:R18)</f>
        <v>5.56</v>
      </c>
      <c r="T18" s="232" t="str">
        <f t="shared" si="0"/>
        <v>II A</v>
      </c>
      <c r="U18" s="233" t="s">
        <v>869</v>
      </c>
    </row>
    <row r="19" spans="1:21" ht="12.75">
      <c r="A19" s="234">
        <f>A18</f>
        <v>6</v>
      </c>
      <c r="B19" s="234"/>
      <c r="C19" s="235"/>
      <c r="D19" s="236"/>
      <c r="E19" s="237"/>
      <c r="F19" s="238"/>
      <c r="G19" s="239"/>
      <c r="H19" s="239"/>
      <c r="I19" s="240"/>
      <c r="J19" s="241"/>
      <c r="K19" s="242"/>
      <c r="L19" s="243">
        <v>0.2</v>
      </c>
      <c r="M19" s="243">
        <v>0.5</v>
      </c>
      <c r="N19" s="243">
        <v>1.7</v>
      </c>
      <c r="O19" s="244"/>
      <c r="P19" s="245">
        <v>1.8</v>
      </c>
      <c r="Q19" s="245">
        <v>0.9</v>
      </c>
      <c r="R19" s="245">
        <v>1.6</v>
      </c>
      <c r="S19" s="246">
        <f>S18</f>
        <v>5.56</v>
      </c>
      <c r="T19" s="247" t="str">
        <f t="shared" si="0"/>
        <v>II A</v>
      </c>
      <c r="U19" s="248"/>
    </row>
    <row r="20" spans="1:21" ht="12.75">
      <c r="A20" s="220">
        <v>7</v>
      </c>
      <c r="B20" s="220"/>
      <c r="C20" s="220">
        <v>35</v>
      </c>
      <c r="D20" s="221" t="s">
        <v>870</v>
      </c>
      <c r="E20" s="222" t="s">
        <v>871</v>
      </c>
      <c r="F20" s="223" t="s">
        <v>872</v>
      </c>
      <c r="G20" s="224" t="s">
        <v>546</v>
      </c>
      <c r="H20" s="224" t="s">
        <v>141</v>
      </c>
      <c r="I20" s="225" t="s">
        <v>547</v>
      </c>
      <c r="J20" s="226"/>
      <c r="K20" s="227">
        <f>IF(ISBLANK(S20),"",TRUNC(1.966*(S20+49.24)^2)-5000)</f>
        <v>899</v>
      </c>
      <c r="L20" s="228">
        <v>5.54</v>
      </c>
      <c r="M20" s="228" t="s">
        <v>190</v>
      </c>
      <c r="N20" s="230">
        <v>5.44</v>
      </c>
      <c r="O20" s="229">
        <v>2</v>
      </c>
      <c r="P20" s="230">
        <v>5.18</v>
      </c>
      <c r="Q20" s="230">
        <v>5.31</v>
      </c>
      <c r="R20" s="230">
        <v>5.39</v>
      </c>
      <c r="S20" s="231">
        <f>MAX(L20:N20,P20:R20)</f>
        <v>5.54</v>
      </c>
      <c r="T20" s="232" t="str">
        <f t="shared" si="0"/>
        <v>II A</v>
      </c>
      <c r="U20" s="233" t="s">
        <v>548</v>
      </c>
    </row>
    <row r="21" spans="1:21" ht="12.75">
      <c r="A21" s="234">
        <f>A20</f>
        <v>7</v>
      </c>
      <c r="B21" s="234"/>
      <c r="C21" s="235"/>
      <c r="D21" s="236"/>
      <c r="E21" s="237"/>
      <c r="F21" s="238"/>
      <c r="G21" s="239"/>
      <c r="H21" s="239"/>
      <c r="I21" s="240"/>
      <c r="J21" s="241"/>
      <c r="K21" s="242"/>
      <c r="L21" s="243">
        <v>-0.5</v>
      </c>
      <c r="M21" s="243">
        <v>-0.3</v>
      </c>
      <c r="N21" s="245">
        <v>1.8</v>
      </c>
      <c r="O21" s="244"/>
      <c r="P21" s="245">
        <v>-1.4</v>
      </c>
      <c r="Q21" s="245">
        <v>0.2</v>
      </c>
      <c r="R21" s="245">
        <v>0.5</v>
      </c>
      <c r="S21" s="246">
        <f>S20</f>
        <v>5.54</v>
      </c>
      <c r="T21" s="247" t="str">
        <f t="shared" si="0"/>
        <v>II A</v>
      </c>
      <c r="U21" s="248"/>
    </row>
    <row r="22" spans="1:21" ht="12.75">
      <c r="A22" s="220">
        <v>8</v>
      </c>
      <c r="B22" s="220">
        <v>4</v>
      </c>
      <c r="C22" s="220">
        <v>81</v>
      </c>
      <c r="D22" s="221" t="s">
        <v>873</v>
      </c>
      <c r="E22" s="222" t="s">
        <v>874</v>
      </c>
      <c r="F22" s="223" t="s">
        <v>875</v>
      </c>
      <c r="G22" s="224" t="s">
        <v>876</v>
      </c>
      <c r="H22" s="224" t="s">
        <v>243</v>
      </c>
      <c r="I22" s="225" t="s">
        <v>164</v>
      </c>
      <c r="J22" s="226" t="s">
        <v>85</v>
      </c>
      <c r="K22" s="227">
        <f>IF(ISBLANK(S22),"",TRUNC(1.966*(S22+49.24)^2)-5000)</f>
        <v>897</v>
      </c>
      <c r="L22" s="228">
        <v>5.53</v>
      </c>
      <c r="M22" s="228" t="s">
        <v>190</v>
      </c>
      <c r="N22" s="228" t="s">
        <v>190</v>
      </c>
      <c r="O22" s="229">
        <v>1</v>
      </c>
      <c r="P22" s="230" t="s">
        <v>190</v>
      </c>
      <c r="Q22" s="230" t="s">
        <v>190</v>
      </c>
      <c r="R22" s="230">
        <v>3.35</v>
      </c>
      <c r="S22" s="231">
        <f>MAX(L22:N22,P22:R22)</f>
        <v>5.53</v>
      </c>
      <c r="T22" s="232" t="str">
        <f t="shared" si="0"/>
        <v>II A</v>
      </c>
      <c r="U22" s="233" t="s">
        <v>877</v>
      </c>
    </row>
    <row r="23" spans="1:21" ht="12.75">
      <c r="A23" s="234">
        <f>A22</f>
        <v>8</v>
      </c>
      <c r="B23" s="234"/>
      <c r="C23" s="235"/>
      <c r="D23" s="236"/>
      <c r="E23" s="237"/>
      <c r="F23" s="238"/>
      <c r="G23" s="239"/>
      <c r="H23" s="239"/>
      <c r="I23" s="240"/>
      <c r="J23" s="241"/>
      <c r="K23" s="242"/>
      <c r="L23" s="245">
        <v>1.7</v>
      </c>
      <c r="M23" s="245">
        <v>1.6</v>
      </c>
      <c r="N23" s="245">
        <v>3.8</v>
      </c>
      <c r="O23" s="244"/>
      <c r="P23" s="245">
        <v>2.8</v>
      </c>
      <c r="Q23" s="245">
        <v>5.2</v>
      </c>
      <c r="R23" s="245">
        <v>1.4</v>
      </c>
      <c r="S23" s="246">
        <f>S22</f>
        <v>5.53</v>
      </c>
      <c r="T23" s="247" t="str">
        <f t="shared" si="0"/>
        <v>II A</v>
      </c>
      <c r="U23" s="248" t="s">
        <v>367</v>
      </c>
    </row>
    <row r="24" spans="1:21" ht="12.75">
      <c r="A24" s="220">
        <v>9</v>
      </c>
      <c r="B24" s="220">
        <v>5</v>
      </c>
      <c r="C24" s="220">
        <v>125</v>
      </c>
      <c r="D24" s="221" t="s">
        <v>878</v>
      </c>
      <c r="E24" s="222" t="s">
        <v>879</v>
      </c>
      <c r="F24" s="223" t="s">
        <v>880</v>
      </c>
      <c r="G24" s="224" t="s">
        <v>881</v>
      </c>
      <c r="H24" s="224" t="s">
        <v>72</v>
      </c>
      <c r="I24" s="225" t="s">
        <v>45</v>
      </c>
      <c r="J24" s="226" t="s">
        <v>107</v>
      </c>
      <c r="K24" s="227">
        <f>IF(ISBLANK(S24),"",TRUNC(1.966*(S24+49.24)^2)-5000)</f>
        <v>895</v>
      </c>
      <c r="L24" s="230" t="s">
        <v>882</v>
      </c>
      <c r="M24" s="230">
        <v>5.52</v>
      </c>
      <c r="N24" s="230" t="s">
        <v>190</v>
      </c>
      <c r="O24" s="229"/>
      <c r="P24" s="230"/>
      <c r="Q24" s="230"/>
      <c r="R24" s="230"/>
      <c r="S24" s="231">
        <f>MAX(L24:N24,P24:R24)</f>
        <v>5.52</v>
      </c>
      <c r="T24" s="232" t="str">
        <f t="shared" si="0"/>
        <v>II A</v>
      </c>
      <c r="U24" s="233" t="s">
        <v>883</v>
      </c>
    </row>
    <row r="25" spans="1:21" ht="12.75">
      <c r="A25" s="234">
        <f>A24</f>
        <v>9</v>
      </c>
      <c r="B25" s="234"/>
      <c r="C25" s="235"/>
      <c r="D25" s="236"/>
      <c r="E25" s="237"/>
      <c r="F25" s="238"/>
      <c r="G25" s="239"/>
      <c r="H25" s="239"/>
      <c r="I25" s="240"/>
      <c r="J25" s="241"/>
      <c r="K25" s="242"/>
      <c r="L25" s="245">
        <v>0.3</v>
      </c>
      <c r="M25" s="245">
        <v>2.4</v>
      </c>
      <c r="N25" s="245">
        <v>1.9</v>
      </c>
      <c r="O25" s="244"/>
      <c r="P25" s="245"/>
      <c r="Q25" s="245"/>
      <c r="R25" s="245"/>
      <c r="S25" s="246">
        <f>S24</f>
        <v>5.52</v>
      </c>
      <c r="T25" s="247" t="str">
        <f t="shared" si="0"/>
        <v>II A</v>
      </c>
      <c r="U25" s="248"/>
    </row>
    <row r="26" spans="1:21" ht="12.75">
      <c r="A26" s="220">
        <v>10</v>
      </c>
      <c r="B26" s="220"/>
      <c r="C26" s="220">
        <v>64</v>
      </c>
      <c r="D26" s="221" t="s">
        <v>302</v>
      </c>
      <c r="E26" s="222" t="s">
        <v>884</v>
      </c>
      <c r="F26" s="223" t="s">
        <v>885</v>
      </c>
      <c r="G26" s="224" t="s">
        <v>43</v>
      </c>
      <c r="H26" s="224" t="s">
        <v>148</v>
      </c>
      <c r="I26" s="225" t="s">
        <v>688</v>
      </c>
      <c r="J26" s="226"/>
      <c r="K26" s="227">
        <f>IF(ISBLANK(S26),"",TRUNC(1.966*(S26+49.24)^2)-5000)</f>
        <v>880</v>
      </c>
      <c r="L26" s="228" t="s">
        <v>190</v>
      </c>
      <c r="M26" s="228">
        <v>5.45</v>
      </c>
      <c r="N26" s="228" t="s">
        <v>190</v>
      </c>
      <c r="O26" s="229"/>
      <c r="P26" s="230"/>
      <c r="Q26" s="230"/>
      <c r="R26" s="230"/>
      <c r="S26" s="231">
        <f>MAX(L26:N26,P26:R26)</f>
        <v>5.45</v>
      </c>
      <c r="T26" s="232" t="str">
        <f t="shared" si="0"/>
        <v>II A</v>
      </c>
      <c r="U26" s="233" t="s">
        <v>689</v>
      </c>
    </row>
    <row r="27" spans="1:21" ht="12.75">
      <c r="A27" s="234">
        <f>A26</f>
        <v>10</v>
      </c>
      <c r="B27" s="234"/>
      <c r="C27" s="235"/>
      <c r="D27" s="236"/>
      <c r="E27" s="237"/>
      <c r="F27" s="238"/>
      <c r="G27" s="239"/>
      <c r="H27" s="239"/>
      <c r="I27" s="240"/>
      <c r="J27" s="241"/>
      <c r="K27" s="242"/>
      <c r="L27" s="243">
        <v>0.5</v>
      </c>
      <c r="M27" s="243">
        <v>3.3</v>
      </c>
      <c r="N27" s="243">
        <v>2.8</v>
      </c>
      <c r="O27" s="244"/>
      <c r="P27" s="245"/>
      <c r="Q27" s="245"/>
      <c r="R27" s="245"/>
      <c r="S27" s="246">
        <f>S26</f>
        <v>5.45</v>
      </c>
      <c r="T27" s="247" t="str">
        <f t="shared" si="0"/>
        <v>II A</v>
      </c>
      <c r="U27" s="248"/>
    </row>
    <row r="28" spans="1:21" ht="12.75">
      <c r="A28" s="220">
        <v>11</v>
      </c>
      <c r="B28" s="220"/>
      <c r="C28" s="220">
        <v>174</v>
      </c>
      <c r="D28" s="221" t="s">
        <v>886</v>
      </c>
      <c r="E28" s="222" t="s">
        <v>887</v>
      </c>
      <c r="F28" s="223" t="s">
        <v>485</v>
      </c>
      <c r="G28" s="224" t="s">
        <v>83</v>
      </c>
      <c r="H28" s="224" t="s">
        <v>218</v>
      </c>
      <c r="I28" s="225" t="s">
        <v>84</v>
      </c>
      <c r="J28" s="226"/>
      <c r="K28" s="227">
        <f>IF(ISBLANK(S28),"",TRUNC(1.966*(S28+49.24)^2)-5000)</f>
        <v>863</v>
      </c>
      <c r="L28" s="230">
        <v>5.37</v>
      </c>
      <c r="M28" s="230">
        <v>5.32</v>
      </c>
      <c r="N28" s="230">
        <v>4.98</v>
      </c>
      <c r="O28" s="229"/>
      <c r="P28" s="230"/>
      <c r="Q28" s="230"/>
      <c r="R28" s="230"/>
      <c r="S28" s="231">
        <f>MAX(L28:N28,P28:R28)</f>
        <v>5.37</v>
      </c>
      <c r="T28" s="232" t="str">
        <f t="shared" si="0"/>
        <v>II A</v>
      </c>
      <c r="U28" s="233" t="s">
        <v>219</v>
      </c>
    </row>
    <row r="29" spans="1:21" ht="12.75">
      <c r="A29" s="234">
        <f>A28</f>
        <v>11</v>
      </c>
      <c r="B29" s="234"/>
      <c r="C29" s="235"/>
      <c r="D29" s="236"/>
      <c r="E29" s="237"/>
      <c r="F29" s="238"/>
      <c r="G29" s="239"/>
      <c r="H29" s="239"/>
      <c r="I29" s="240"/>
      <c r="J29" s="241"/>
      <c r="K29" s="242"/>
      <c r="L29" s="245">
        <v>0.5</v>
      </c>
      <c r="M29" s="245">
        <v>3.2</v>
      </c>
      <c r="N29" s="245">
        <v>0.3</v>
      </c>
      <c r="O29" s="244"/>
      <c r="P29" s="245"/>
      <c r="Q29" s="245"/>
      <c r="R29" s="245"/>
      <c r="S29" s="246">
        <f>S28</f>
        <v>5.37</v>
      </c>
      <c r="T29" s="247" t="str">
        <f t="shared" si="0"/>
        <v>II A</v>
      </c>
      <c r="U29" s="248"/>
    </row>
    <row r="30" spans="1:21" ht="12.75">
      <c r="A30" s="220">
        <v>12</v>
      </c>
      <c r="B30" s="220"/>
      <c r="C30" s="220">
        <v>188</v>
      </c>
      <c r="D30" s="221" t="s">
        <v>888</v>
      </c>
      <c r="E30" s="222" t="s">
        <v>889</v>
      </c>
      <c r="F30" s="223" t="s">
        <v>153</v>
      </c>
      <c r="G30" s="224" t="s">
        <v>50</v>
      </c>
      <c r="H30" s="224" t="s">
        <v>51</v>
      </c>
      <c r="I30" s="225" t="s">
        <v>52</v>
      </c>
      <c r="J30" s="226"/>
      <c r="K30" s="227">
        <f>IF(ISBLANK(S30),"",TRUNC(1.966*(S30+49.24)^2)-5000)</f>
        <v>860</v>
      </c>
      <c r="L30" s="230">
        <v>5.36</v>
      </c>
      <c r="M30" s="230">
        <v>5.28</v>
      </c>
      <c r="N30" s="230">
        <v>5.14</v>
      </c>
      <c r="O30" s="229"/>
      <c r="P30" s="230"/>
      <c r="Q30" s="230"/>
      <c r="R30" s="230"/>
      <c r="S30" s="231">
        <f>MAX(L30:N30,P30:R30)</f>
        <v>5.36</v>
      </c>
      <c r="T30" s="232" t="str">
        <f t="shared" si="0"/>
        <v>II A</v>
      </c>
      <c r="U30" s="233" t="s">
        <v>890</v>
      </c>
    </row>
    <row r="31" spans="1:21" ht="12.75">
      <c r="A31" s="234">
        <f>A30</f>
        <v>12</v>
      </c>
      <c r="B31" s="234"/>
      <c r="C31" s="235"/>
      <c r="D31" s="236"/>
      <c r="E31" s="237"/>
      <c r="F31" s="238"/>
      <c r="G31" s="239"/>
      <c r="H31" s="239"/>
      <c r="I31" s="240"/>
      <c r="J31" s="241"/>
      <c r="K31" s="242"/>
      <c r="L31" s="245">
        <v>0.5</v>
      </c>
      <c r="M31" s="245">
        <v>3.3</v>
      </c>
      <c r="N31" s="245">
        <v>3.4</v>
      </c>
      <c r="O31" s="244"/>
      <c r="P31" s="245"/>
      <c r="Q31" s="245"/>
      <c r="R31" s="245"/>
      <c r="S31" s="246">
        <f>S30</f>
        <v>5.36</v>
      </c>
      <c r="T31" s="247" t="str">
        <f t="shared" si="0"/>
        <v>II A</v>
      </c>
      <c r="U31" s="248"/>
    </row>
    <row r="32" spans="1:21" ht="12.75">
      <c r="A32" s="220">
        <v>13</v>
      </c>
      <c r="B32" s="220"/>
      <c r="C32" s="220">
        <v>155</v>
      </c>
      <c r="D32" s="221" t="s">
        <v>891</v>
      </c>
      <c r="E32" s="222" t="s">
        <v>892</v>
      </c>
      <c r="F32" s="223" t="s">
        <v>893</v>
      </c>
      <c r="G32" s="224" t="s">
        <v>894</v>
      </c>
      <c r="H32" s="224" t="s">
        <v>72</v>
      </c>
      <c r="I32" s="225"/>
      <c r="J32" s="226"/>
      <c r="K32" s="227">
        <f>IF(ISBLANK(S32),"",TRUNC(1.966*(S32+49.24)^2)-5000)</f>
        <v>856</v>
      </c>
      <c r="L32" s="230">
        <v>5.25</v>
      </c>
      <c r="M32" s="230" t="s">
        <v>190</v>
      </c>
      <c r="N32" s="230">
        <v>5.34</v>
      </c>
      <c r="O32" s="229"/>
      <c r="P32" s="230"/>
      <c r="Q32" s="230"/>
      <c r="R32" s="230"/>
      <c r="S32" s="231">
        <f>MAX(L32:N32,P32:R32)</f>
        <v>5.34</v>
      </c>
      <c r="T32" s="232" t="str">
        <f t="shared" si="0"/>
        <v>II A</v>
      </c>
      <c r="U32" s="233" t="s">
        <v>895</v>
      </c>
    </row>
    <row r="33" spans="1:21" ht="12.75">
      <c r="A33" s="234">
        <f>A32</f>
        <v>13</v>
      </c>
      <c r="B33" s="234"/>
      <c r="C33" s="235"/>
      <c r="D33" s="236"/>
      <c r="E33" s="237"/>
      <c r="F33" s="238"/>
      <c r="G33" s="239"/>
      <c r="H33" s="239"/>
      <c r="I33" s="240"/>
      <c r="J33" s="241"/>
      <c r="K33" s="242"/>
      <c r="L33" s="245">
        <v>-1.4</v>
      </c>
      <c r="M33" s="245">
        <v>3.9</v>
      </c>
      <c r="N33" s="245">
        <v>0.2</v>
      </c>
      <c r="O33" s="244"/>
      <c r="P33" s="245"/>
      <c r="Q33" s="245"/>
      <c r="R33" s="245"/>
      <c r="S33" s="246">
        <f>S32</f>
        <v>5.34</v>
      </c>
      <c r="T33" s="247" t="str">
        <f t="shared" si="0"/>
        <v>II A</v>
      </c>
      <c r="U33" s="248"/>
    </row>
    <row r="34" spans="1:21" ht="12.75">
      <c r="A34" s="220">
        <v>14</v>
      </c>
      <c r="B34" s="220">
        <v>6</v>
      </c>
      <c r="C34" s="220">
        <v>188</v>
      </c>
      <c r="D34" s="221" t="s">
        <v>317</v>
      </c>
      <c r="E34" s="222" t="s">
        <v>318</v>
      </c>
      <c r="F34" s="223" t="s">
        <v>319</v>
      </c>
      <c r="G34" s="224" t="s">
        <v>43</v>
      </c>
      <c r="H34" s="224" t="s">
        <v>148</v>
      </c>
      <c r="I34" s="225" t="s">
        <v>320</v>
      </c>
      <c r="J34" s="226" t="s">
        <v>147</v>
      </c>
      <c r="K34" s="227">
        <f>IF(ISBLANK(S34),"",TRUNC(1.966*(S34+49.24)^2)-5000)</f>
        <v>854</v>
      </c>
      <c r="L34" s="230" t="s">
        <v>466</v>
      </c>
      <c r="M34" s="230">
        <v>5.33</v>
      </c>
      <c r="N34" s="230">
        <v>5.18</v>
      </c>
      <c r="O34" s="229"/>
      <c r="P34" s="230"/>
      <c r="Q34" s="230"/>
      <c r="R34" s="230"/>
      <c r="S34" s="231">
        <f>MAX(L34:N34,P34:R34)</f>
        <v>5.33</v>
      </c>
      <c r="T34" s="232" t="str">
        <f t="shared" si="0"/>
        <v>II A</v>
      </c>
      <c r="U34" s="233" t="s">
        <v>321</v>
      </c>
    </row>
    <row r="35" spans="1:21" ht="12.75">
      <c r="A35" s="234">
        <f>A34</f>
        <v>14</v>
      </c>
      <c r="B35" s="234"/>
      <c r="C35" s="235"/>
      <c r="D35" s="236"/>
      <c r="E35" s="237"/>
      <c r="F35" s="238"/>
      <c r="G35" s="239"/>
      <c r="H35" s="239"/>
      <c r="I35" s="240"/>
      <c r="J35" s="241"/>
      <c r="K35" s="242"/>
      <c r="L35" s="245"/>
      <c r="M35" s="245">
        <v>1.8</v>
      </c>
      <c r="N35" s="245">
        <v>0.6</v>
      </c>
      <c r="O35" s="244"/>
      <c r="P35" s="245"/>
      <c r="Q35" s="245"/>
      <c r="R35" s="245"/>
      <c r="S35" s="246">
        <f>S34</f>
        <v>5.33</v>
      </c>
      <c r="T35" s="247" t="str">
        <f t="shared" si="0"/>
        <v>II A</v>
      </c>
      <c r="U35" s="248"/>
    </row>
    <row r="36" spans="1:21" ht="12.75">
      <c r="A36" s="220">
        <v>15</v>
      </c>
      <c r="B36" s="220"/>
      <c r="C36" s="220">
        <v>56</v>
      </c>
      <c r="D36" s="221" t="s">
        <v>896</v>
      </c>
      <c r="E36" s="222" t="s">
        <v>897</v>
      </c>
      <c r="F36" s="223" t="s">
        <v>898</v>
      </c>
      <c r="G36" s="224" t="s">
        <v>43</v>
      </c>
      <c r="H36" s="224" t="s">
        <v>148</v>
      </c>
      <c r="I36" s="225" t="s">
        <v>320</v>
      </c>
      <c r="J36" s="226"/>
      <c r="K36" s="227">
        <f>IF(ISBLANK(S36),"",TRUNC(1.966*(S36+49.24)^2)-5000)</f>
        <v>848</v>
      </c>
      <c r="L36" s="230">
        <v>5.22</v>
      </c>
      <c r="M36" s="230">
        <v>5.3</v>
      </c>
      <c r="N36" s="230">
        <v>5.25</v>
      </c>
      <c r="O36" s="229"/>
      <c r="P36" s="230"/>
      <c r="Q36" s="230"/>
      <c r="R36" s="230"/>
      <c r="S36" s="231">
        <v>5.3</v>
      </c>
      <c r="T36" s="232" t="str">
        <f t="shared" si="0"/>
        <v>II A</v>
      </c>
      <c r="U36" s="233" t="s">
        <v>321</v>
      </c>
    </row>
    <row r="37" spans="1:21" ht="12.75">
      <c r="A37" s="234">
        <f>A36</f>
        <v>15</v>
      </c>
      <c r="B37" s="234"/>
      <c r="C37" s="235"/>
      <c r="D37" s="236"/>
      <c r="E37" s="237"/>
      <c r="F37" s="238"/>
      <c r="G37" s="239"/>
      <c r="H37" s="239"/>
      <c r="I37" s="240"/>
      <c r="J37" s="241"/>
      <c r="K37" s="242"/>
      <c r="L37" s="245">
        <v>-0.1</v>
      </c>
      <c r="M37" s="245">
        <v>1.6</v>
      </c>
      <c r="N37" s="245">
        <v>3.3</v>
      </c>
      <c r="O37" s="244"/>
      <c r="P37" s="245"/>
      <c r="Q37" s="245"/>
      <c r="R37" s="245"/>
      <c r="S37" s="246" t="s">
        <v>899</v>
      </c>
      <c r="T37" s="247" t="str">
        <f t="shared" si="0"/>
        <v>TSM</v>
      </c>
      <c r="U37" s="248"/>
    </row>
    <row r="38" spans="1:21" ht="12.75">
      <c r="A38" s="220">
        <v>16</v>
      </c>
      <c r="B38" s="220"/>
      <c r="C38" s="220">
        <v>164</v>
      </c>
      <c r="D38" s="221" t="s">
        <v>900</v>
      </c>
      <c r="E38" s="222" t="s">
        <v>901</v>
      </c>
      <c r="F38" s="223" t="s">
        <v>902</v>
      </c>
      <c r="G38" s="224" t="s">
        <v>132</v>
      </c>
      <c r="H38" s="224" t="s">
        <v>131</v>
      </c>
      <c r="I38" s="225" t="s">
        <v>130</v>
      </c>
      <c r="J38" s="226"/>
      <c r="K38" s="227">
        <f>IF(ISBLANK(S38),"",TRUNC(1.966*(S38+49.24)^2)-5000)</f>
        <v>848</v>
      </c>
      <c r="L38" s="228" t="s">
        <v>190</v>
      </c>
      <c r="M38" s="228">
        <v>5.3</v>
      </c>
      <c r="N38" s="228" t="s">
        <v>190</v>
      </c>
      <c r="O38" s="229"/>
      <c r="P38" s="230"/>
      <c r="Q38" s="230"/>
      <c r="R38" s="230"/>
      <c r="S38" s="231">
        <f>MAX(L38:N38,P38:R38)</f>
        <v>5.3</v>
      </c>
      <c r="T38" s="232" t="str">
        <f t="shared" si="0"/>
        <v>II A</v>
      </c>
      <c r="U38" s="233" t="s">
        <v>903</v>
      </c>
    </row>
    <row r="39" spans="1:21" ht="12.75">
      <c r="A39" s="234">
        <f>A38</f>
        <v>16</v>
      </c>
      <c r="B39" s="234"/>
      <c r="C39" s="235"/>
      <c r="D39" s="236"/>
      <c r="E39" s="237"/>
      <c r="F39" s="238"/>
      <c r="G39" s="239"/>
      <c r="H39" s="239"/>
      <c r="I39" s="240"/>
      <c r="J39" s="241"/>
      <c r="K39" s="242"/>
      <c r="L39" s="243">
        <v>1.8</v>
      </c>
      <c r="M39" s="243">
        <v>1.7</v>
      </c>
      <c r="N39" s="243">
        <v>1.9</v>
      </c>
      <c r="O39" s="244"/>
      <c r="P39" s="245"/>
      <c r="Q39" s="245"/>
      <c r="R39" s="245"/>
      <c r="S39" s="246">
        <f>S38</f>
        <v>5.3</v>
      </c>
      <c r="T39" s="247" t="str">
        <f t="shared" si="0"/>
        <v>II A</v>
      </c>
      <c r="U39" s="248" t="s">
        <v>904</v>
      </c>
    </row>
    <row r="40" spans="1:21" ht="12.75">
      <c r="A40" s="220">
        <v>17</v>
      </c>
      <c r="B40" s="220"/>
      <c r="C40" s="220">
        <v>166</v>
      </c>
      <c r="D40" s="221" t="s">
        <v>905</v>
      </c>
      <c r="E40" s="222" t="s">
        <v>906</v>
      </c>
      <c r="F40" s="223" t="s">
        <v>907</v>
      </c>
      <c r="G40" s="224" t="s">
        <v>132</v>
      </c>
      <c r="H40" s="224" t="s">
        <v>131</v>
      </c>
      <c r="I40" s="225" t="s">
        <v>130</v>
      </c>
      <c r="J40" s="226"/>
      <c r="K40" s="227">
        <f>IF(ISBLANK(S40),"",TRUNC(1.966*(S40+49.24)^2)-5000)</f>
        <v>826</v>
      </c>
      <c r="L40" s="228">
        <v>5.2</v>
      </c>
      <c r="M40" s="228">
        <v>5.05</v>
      </c>
      <c r="N40" s="228" t="s">
        <v>190</v>
      </c>
      <c r="O40" s="229"/>
      <c r="P40" s="230"/>
      <c r="Q40" s="230"/>
      <c r="R40" s="230"/>
      <c r="S40" s="231">
        <f>MAX(L40:N40,P40:R40)</f>
        <v>5.2</v>
      </c>
      <c r="T40" s="232" t="str">
        <f t="shared" si="0"/>
        <v>II A</v>
      </c>
      <c r="U40" s="233" t="s">
        <v>908</v>
      </c>
    </row>
    <row r="41" spans="1:21" ht="12.75">
      <c r="A41" s="234">
        <f>A40</f>
        <v>17</v>
      </c>
      <c r="B41" s="234"/>
      <c r="C41" s="235"/>
      <c r="D41" s="236"/>
      <c r="E41" s="237"/>
      <c r="F41" s="238"/>
      <c r="G41" s="239"/>
      <c r="H41" s="239"/>
      <c r="I41" s="240"/>
      <c r="J41" s="241"/>
      <c r="K41" s="242"/>
      <c r="L41" s="243">
        <v>1.5</v>
      </c>
      <c r="M41" s="243">
        <v>1.9</v>
      </c>
      <c r="N41" s="243">
        <v>1.1</v>
      </c>
      <c r="O41" s="244"/>
      <c r="P41" s="245"/>
      <c r="Q41" s="245"/>
      <c r="R41" s="245"/>
      <c r="S41" s="246">
        <f>S40</f>
        <v>5.2</v>
      </c>
      <c r="T41" s="247" t="str">
        <f t="shared" si="0"/>
        <v>II A</v>
      </c>
      <c r="U41" s="248"/>
    </row>
    <row r="42" spans="1:21" ht="12.75">
      <c r="A42" s="220">
        <v>18</v>
      </c>
      <c r="B42" s="220"/>
      <c r="C42" s="220">
        <v>15</v>
      </c>
      <c r="D42" s="221" t="s">
        <v>439</v>
      </c>
      <c r="E42" s="222" t="s">
        <v>909</v>
      </c>
      <c r="F42" s="223" t="s">
        <v>910</v>
      </c>
      <c r="G42" s="224" t="s">
        <v>342</v>
      </c>
      <c r="H42" s="224" t="s">
        <v>29</v>
      </c>
      <c r="I42" s="225" t="s">
        <v>30</v>
      </c>
      <c r="J42" s="226"/>
      <c r="K42" s="227">
        <f>IF(ISBLANK(S42),"",TRUNC(1.966*(S42+49.24)^2)-5000)</f>
        <v>779</v>
      </c>
      <c r="L42" s="230">
        <v>4.98</v>
      </c>
      <c r="M42" s="230" t="s">
        <v>911</v>
      </c>
      <c r="N42" s="230">
        <v>4.76</v>
      </c>
      <c r="O42" s="229"/>
      <c r="P42" s="230"/>
      <c r="Q42" s="230"/>
      <c r="R42" s="230"/>
      <c r="S42" s="231">
        <f>MAX(L42:N42,P42:R42)</f>
        <v>4.98</v>
      </c>
      <c r="T42" s="232" t="str">
        <f t="shared" si="0"/>
        <v>III A</v>
      </c>
      <c r="U42" s="233" t="s">
        <v>912</v>
      </c>
    </row>
    <row r="43" spans="1:21" ht="12.75">
      <c r="A43" s="234">
        <f>A42</f>
        <v>18</v>
      </c>
      <c r="B43" s="234"/>
      <c r="C43" s="235"/>
      <c r="D43" s="236"/>
      <c r="E43" s="237"/>
      <c r="F43" s="238"/>
      <c r="G43" s="239"/>
      <c r="H43" s="239"/>
      <c r="I43" s="240"/>
      <c r="J43" s="241"/>
      <c r="K43" s="242"/>
      <c r="L43" s="245">
        <v>-1.3</v>
      </c>
      <c r="M43" s="245">
        <v>2.4</v>
      </c>
      <c r="N43" s="245">
        <v>0</v>
      </c>
      <c r="O43" s="244"/>
      <c r="P43" s="245"/>
      <c r="Q43" s="245"/>
      <c r="R43" s="245"/>
      <c r="S43" s="246">
        <f>S42</f>
        <v>4.98</v>
      </c>
      <c r="T43" s="247" t="str">
        <f t="shared" si="0"/>
        <v>III A</v>
      </c>
      <c r="U43" s="248"/>
    </row>
    <row r="44" spans="1:21" ht="12.75">
      <c r="A44" s="220">
        <v>19</v>
      </c>
      <c r="B44" s="220"/>
      <c r="C44" s="220">
        <v>165</v>
      </c>
      <c r="D44" s="221" t="s">
        <v>387</v>
      </c>
      <c r="E44" s="222" t="s">
        <v>913</v>
      </c>
      <c r="F44" s="223" t="s">
        <v>914</v>
      </c>
      <c r="G44" s="224" t="s">
        <v>132</v>
      </c>
      <c r="H44" s="224" t="s">
        <v>131</v>
      </c>
      <c r="I44" s="225" t="s">
        <v>130</v>
      </c>
      <c r="J44" s="226"/>
      <c r="K44" s="227">
        <f>IF(ISBLANK(S44),"",TRUNC(1.966*(S44+49.24)^2)-5000)</f>
        <v>775</v>
      </c>
      <c r="L44" s="230">
        <v>4.96</v>
      </c>
      <c r="M44" s="230" t="s">
        <v>190</v>
      </c>
      <c r="N44" s="230">
        <v>4.93</v>
      </c>
      <c r="O44" s="229"/>
      <c r="P44" s="230"/>
      <c r="Q44" s="230"/>
      <c r="R44" s="230"/>
      <c r="S44" s="231">
        <f>MAX(L44:N44,P44:R44)</f>
        <v>4.96</v>
      </c>
      <c r="T44" s="232" t="str">
        <f t="shared" si="0"/>
        <v>III A</v>
      </c>
      <c r="U44" s="233" t="s">
        <v>903</v>
      </c>
    </row>
    <row r="45" spans="1:21" ht="12.75">
      <c r="A45" s="234">
        <f>A44</f>
        <v>19</v>
      </c>
      <c r="B45" s="234"/>
      <c r="C45" s="235"/>
      <c r="D45" s="236"/>
      <c r="E45" s="237"/>
      <c r="F45" s="238"/>
      <c r="G45" s="239"/>
      <c r="H45" s="239"/>
      <c r="I45" s="240"/>
      <c r="J45" s="241"/>
      <c r="K45" s="242"/>
      <c r="L45" s="245">
        <v>3</v>
      </c>
      <c r="M45" s="245">
        <v>3.2</v>
      </c>
      <c r="N45" s="245">
        <v>1.9</v>
      </c>
      <c r="O45" s="244"/>
      <c r="P45" s="245"/>
      <c r="Q45" s="245"/>
      <c r="R45" s="245"/>
      <c r="S45" s="246">
        <f>S44</f>
        <v>4.96</v>
      </c>
      <c r="T45" s="247" t="str">
        <f t="shared" si="0"/>
        <v>III A</v>
      </c>
      <c r="U45" s="248" t="s">
        <v>904</v>
      </c>
    </row>
    <row r="46" spans="1:21" ht="12.75">
      <c r="A46" s="220">
        <v>20</v>
      </c>
      <c r="B46" s="220"/>
      <c r="C46" s="220">
        <v>194</v>
      </c>
      <c r="D46" s="221" t="s">
        <v>381</v>
      </c>
      <c r="E46" s="222" t="s">
        <v>915</v>
      </c>
      <c r="F46" s="223" t="s">
        <v>916</v>
      </c>
      <c r="G46" s="224" t="s">
        <v>342</v>
      </c>
      <c r="H46" s="224" t="s">
        <v>29</v>
      </c>
      <c r="I46" s="225" t="s">
        <v>30</v>
      </c>
      <c r="J46" s="226"/>
      <c r="K46" s="227">
        <f>IF(ISBLANK(S46),"",TRUNC(1.966*(S46+49.24)^2)-5000)</f>
        <v>747</v>
      </c>
      <c r="L46" s="230">
        <v>4.57</v>
      </c>
      <c r="M46" s="230">
        <v>4.83</v>
      </c>
      <c r="N46" s="230">
        <v>4.5</v>
      </c>
      <c r="O46" s="229"/>
      <c r="P46" s="230"/>
      <c r="Q46" s="230"/>
      <c r="R46" s="230"/>
      <c r="S46" s="231">
        <f>MAX(L46:N46,P46:R46)</f>
        <v>4.83</v>
      </c>
      <c r="T46" s="232" t="str">
        <f t="shared" si="0"/>
        <v>III A</v>
      </c>
      <c r="U46" s="233" t="s">
        <v>372</v>
      </c>
    </row>
    <row r="47" spans="1:21" ht="12.75">
      <c r="A47" s="234">
        <f>A46</f>
        <v>20</v>
      </c>
      <c r="B47" s="234"/>
      <c r="C47" s="235"/>
      <c r="D47" s="236"/>
      <c r="E47" s="237"/>
      <c r="F47" s="238"/>
      <c r="G47" s="239"/>
      <c r="H47" s="239"/>
      <c r="I47" s="240"/>
      <c r="J47" s="241"/>
      <c r="K47" s="242"/>
      <c r="L47" s="245">
        <v>0.8</v>
      </c>
      <c r="M47" s="245">
        <v>2.3</v>
      </c>
      <c r="N47" s="245">
        <v>1.6</v>
      </c>
      <c r="O47" s="244"/>
      <c r="P47" s="245"/>
      <c r="Q47" s="245"/>
      <c r="R47" s="245"/>
      <c r="S47" s="246">
        <f>S46</f>
        <v>4.83</v>
      </c>
      <c r="T47" s="247" t="str">
        <f t="shared" si="0"/>
        <v>III A</v>
      </c>
      <c r="U47" s="248"/>
    </row>
    <row r="48" spans="1:21" ht="12.75">
      <c r="A48" s="220">
        <v>21</v>
      </c>
      <c r="B48" s="220">
        <v>7</v>
      </c>
      <c r="C48" s="220">
        <v>102</v>
      </c>
      <c r="D48" s="221" t="s">
        <v>917</v>
      </c>
      <c r="E48" s="222" t="s">
        <v>918</v>
      </c>
      <c r="F48" s="223" t="s">
        <v>919</v>
      </c>
      <c r="G48" s="224" t="s">
        <v>71</v>
      </c>
      <c r="H48" s="224" t="s">
        <v>72</v>
      </c>
      <c r="I48" s="225"/>
      <c r="J48" s="226" t="s">
        <v>107</v>
      </c>
      <c r="K48" s="227">
        <f>IF(ISBLANK(S48),"",TRUNC(1.966*(S48+49.24)^2)-5000)</f>
        <v>684</v>
      </c>
      <c r="L48" s="228">
        <v>4.36</v>
      </c>
      <c r="M48" s="228">
        <v>4.38</v>
      </c>
      <c r="N48" s="228">
        <v>4.53</v>
      </c>
      <c r="O48" s="229"/>
      <c r="P48" s="230"/>
      <c r="Q48" s="230"/>
      <c r="R48" s="230"/>
      <c r="S48" s="231">
        <f>MAX(L48:N48,P48:R48)</f>
        <v>4.53</v>
      </c>
      <c r="T48" s="232">
        <f t="shared" si="0"/>
      </c>
      <c r="U48" s="233" t="s">
        <v>845</v>
      </c>
    </row>
    <row r="49" spans="1:21" ht="12.75">
      <c r="A49" s="234">
        <f>A48</f>
        <v>21</v>
      </c>
      <c r="B49" s="234"/>
      <c r="C49" s="235"/>
      <c r="D49" s="236"/>
      <c r="E49" s="237"/>
      <c r="F49" s="238"/>
      <c r="G49" s="239"/>
      <c r="H49" s="239"/>
      <c r="I49" s="240"/>
      <c r="J49" s="241"/>
      <c r="K49" s="242"/>
      <c r="L49" s="243">
        <v>-1.1</v>
      </c>
      <c r="M49" s="243">
        <v>1.4</v>
      </c>
      <c r="N49" s="243">
        <v>4.1</v>
      </c>
      <c r="O49" s="244"/>
      <c r="P49" s="245"/>
      <c r="Q49" s="245"/>
      <c r="R49" s="245"/>
      <c r="S49" s="246">
        <f>S48</f>
        <v>4.53</v>
      </c>
      <c r="T49" s="247">
        <f t="shared" si="0"/>
      </c>
      <c r="U49" s="248"/>
    </row>
    <row r="50" spans="1:21" ht="12.75">
      <c r="A50" s="220">
        <v>22</v>
      </c>
      <c r="B50" s="220"/>
      <c r="C50" s="220">
        <v>184</v>
      </c>
      <c r="D50" s="221" t="s">
        <v>240</v>
      </c>
      <c r="E50" s="222" t="s">
        <v>920</v>
      </c>
      <c r="F50" s="223" t="s">
        <v>921</v>
      </c>
      <c r="G50" s="224" t="s">
        <v>50</v>
      </c>
      <c r="H50" s="224" t="s">
        <v>51</v>
      </c>
      <c r="I50" s="225" t="s">
        <v>52</v>
      </c>
      <c r="J50" s="226"/>
      <c r="K50" s="227">
        <f>IF(ISBLANK(S50),"",TRUNC(1.966*(S50+49.24)^2)-5000)</f>
        <v>675</v>
      </c>
      <c r="L50" s="230">
        <v>4.26</v>
      </c>
      <c r="M50" s="230">
        <v>4.32</v>
      </c>
      <c r="N50" s="230">
        <v>4.49</v>
      </c>
      <c r="O50" s="229"/>
      <c r="P50" s="230"/>
      <c r="Q50" s="230"/>
      <c r="R50" s="230"/>
      <c r="S50" s="231">
        <f>MAX(L50:N50,P50:R50)</f>
        <v>4.49</v>
      </c>
      <c r="T50" s="232">
        <f t="shared" si="0"/>
      </c>
      <c r="U50" s="233" t="s">
        <v>922</v>
      </c>
    </row>
    <row r="51" spans="1:21" ht="12.75">
      <c r="A51" s="234">
        <f>A50</f>
        <v>22</v>
      </c>
      <c r="B51" s="234"/>
      <c r="C51" s="235"/>
      <c r="D51" s="236"/>
      <c r="E51" s="237"/>
      <c r="F51" s="238"/>
      <c r="G51" s="239"/>
      <c r="H51" s="239"/>
      <c r="I51" s="240"/>
      <c r="J51" s="241"/>
      <c r="K51" s="242"/>
      <c r="L51" s="245">
        <v>2</v>
      </c>
      <c r="M51" s="245">
        <v>1</v>
      </c>
      <c r="N51" s="245">
        <v>2.2</v>
      </c>
      <c r="O51" s="244"/>
      <c r="P51" s="245"/>
      <c r="Q51" s="245"/>
      <c r="R51" s="245"/>
      <c r="S51" s="246">
        <f>S50</f>
        <v>4.49</v>
      </c>
      <c r="T51" s="247">
        <f t="shared" si="0"/>
      </c>
      <c r="U51" s="248"/>
    </row>
    <row r="52" spans="1:21" ht="12.75">
      <c r="A52" s="220"/>
      <c r="B52" s="220"/>
      <c r="C52" s="220">
        <v>60</v>
      </c>
      <c r="D52" s="221" t="s">
        <v>923</v>
      </c>
      <c r="E52" s="222" t="s">
        <v>924</v>
      </c>
      <c r="F52" s="223" t="s">
        <v>925</v>
      </c>
      <c r="G52" s="224" t="s">
        <v>43</v>
      </c>
      <c r="H52" s="224" t="s">
        <v>148</v>
      </c>
      <c r="I52" s="225" t="s">
        <v>688</v>
      </c>
      <c r="J52" s="226"/>
      <c r="K52" s="227"/>
      <c r="L52" s="230" t="s">
        <v>190</v>
      </c>
      <c r="M52" s="230" t="s">
        <v>190</v>
      </c>
      <c r="N52" s="230" t="s">
        <v>190</v>
      </c>
      <c r="O52" s="229"/>
      <c r="P52" s="230"/>
      <c r="Q52" s="230"/>
      <c r="R52" s="230"/>
      <c r="S52" s="231" t="s">
        <v>926</v>
      </c>
      <c r="T52" s="232"/>
      <c r="U52" s="233" t="s">
        <v>689</v>
      </c>
    </row>
    <row r="53" spans="1:21" ht="15" customHeight="1">
      <c r="A53" s="234"/>
      <c r="B53" s="234"/>
      <c r="C53" s="235"/>
      <c r="D53" s="236"/>
      <c r="E53" s="237"/>
      <c r="F53" s="238"/>
      <c r="G53" s="239"/>
      <c r="H53" s="239"/>
      <c r="I53" s="240"/>
      <c r="J53" s="241"/>
      <c r="K53" s="242"/>
      <c r="L53" s="245">
        <v>-0.2</v>
      </c>
      <c r="M53" s="245">
        <v>2</v>
      </c>
      <c r="N53" s="245">
        <v>0.5</v>
      </c>
      <c r="O53" s="244"/>
      <c r="P53" s="245"/>
      <c r="Q53" s="245"/>
      <c r="R53" s="245"/>
      <c r="S53" s="246" t="str">
        <f>S52</f>
        <v>NM</v>
      </c>
      <c r="T53" s="247" t="str">
        <f>IF(ISBLANK(S53),"",IF(S53&lt;4.6,"",IF(S53&gt;=6.62,"TSM",IF(S53&gt;=6.35,"SM",IF(S53&gt;=6,"KSM",IF(S53&gt;=5.6,"I A",IF(S53&gt;=5.15,"II A",IF(S53&gt;=4.6,"III A"))))))))</f>
        <v>TSM</v>
      </c>
      <c r="U53" s="248"/>
    </row>
    <row r="54" spans="1:21" ht="12.75">
      <c r="A54" s="220"/>
      <c r="B54" s="220"/>
      <c r="C54" s="220">
        <v>181</v>
      </c>
      <c r="D54" s="221" t="s">
        <v>927</v>
      </c>
      <c r="E54" s="222" t="s">
        <v>928</v>
      </c>
      <c r="F54" s="223" t="s">
        <v>929</v>
      </c>
      <c r="G54" s="224" t="s">
        <v>260</v>
      </c>
      <c r="H54" s="224" t="s">
        <v>259</v>
      </c>
      <c r="I54" s="225"/>
      <c r="J54" s="226"/>
      <c r="K54" s="227"/>
      <c r="L54" s="230"/>
      <c r="M54" s="230"/>
      <c r="N54" s="230"/>
      <c r="O54" s="229"/>
      <c r="P54" s="230"/>
      <c r="Q54" s="230"/>
      <c r="R54" s="230"/>
      <c r="S54" s="231" t="s">
        <v>110</v>
      </c>
      <c r="T54" s="232"/>
      <c r="U54" s="233" t="s">
        <v>713</v>
      </c>
    </row>
    <row r="55" spans="1:21" ht="12.75">
      <c r="A55" s="234">
        <f>A54</f>
        <v>0</v>
      </c>
      <c r="B55" s="234"/>
      <c r="C55" s="235"/>
      <c r="D55" s="236"/>
      <c r="E55" s="237"/>
      <c r="F55" s="238"/>
      <c r="G55" s="239"/>
      <c r="H55" s="239"/>
      <c r="I55" s="240"/>
      <c r="J55" s="241"/>
      <c r="K55" s="242"/>
      <c r="L55" s="245"/>
      <c r="M55" s="245"/>
      <c r="N55" s="245"/>
      <c r="O55" s="244"/>
      <c r="P55" s="245"/>
      <c r="Q55" s="245"/>
      <c r="R55" s="245"/>
      <c r="S55" s="246" t="str">
        <f>S54</f>
        <v>DNS</v>
      </c>
      <c r="T55" s="247" t="str">
        <f>IF(ISBLANK(S55),"",IF(S55&lt;4.6,"",IF(S55&gt;=6.62,"TSM",IF(S55&gt;=6.35,"SM",IF(S55&gt;=6,"KSM",IF(S55&gt;=5.6,"I A",IF(S55&gt;=5.15,"II A",IF(S55&gt;=4.6,"III A"))))))))</f>
        <v>TSM</v>
      </c>
      <c r="U55" s="248"/>
    </row>
  </sheetData>
  <sheetProtection/>
  <mergeCells count="1">
    <mergeCell ref="L6:R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6"/>
  <sheetViews>
    <sheetView showZeros="0" zoomScalePageLayoutView="0" workbookViewId="0" topLeftCell="A1">
      <selection activeCell="U4" sqref="U4"/>
    </sheetView>
  </sheetViews>
  <sheetFormatPr defaultColWidth="9.140625" defaultRowHeight="15"/>
  <cols>
    <col min="1" max="1" width="4.28125" style="74" customWidth="1"/>
    <col min="2" max="2" width="4.140625" style="74" customWidth="1"/>
    <col min="3" max="3" width="3.8515625" style="69" hidden="1" customWidth="1"/>
    <col min="4" max="4" width="10.140625" style="69" customWidth="1"/>
    <col min="5" max="5" width="11.57421875" style="69" customWidth="1"/>
    <col min="6" max="6" width="8.8515625" style="69" customWidth="1"/>
    <col min="7" max="7" width="10.140625" style="69" customWidth="1"/>
    <col min="8" max="8" width="7.7109375" style="69" customWidth="1"/>
    <col min="9" max="9" width="7.421875" style="69" customWidth="1"/>
    <col min="10" max="10" width="5.28125" style="69" customWidth="1"/>
    <col min="11" max="11" width="5.140625" style="110" customWidth="1"/>
    <col min="12" max="14" width="5.00390625" style="77" customWidth="1"/>
    <col min="15" max="15" width="2.7109375" style="77" customWidth="1"/>
    <col min="16" max="18" width="4.8515625" style="77" customWidth="1"/>
    <col min="19" max="19" width="5.28125" style="77" customWidth="1"/>
    <col min="20" max="20" width="4.7109375" style="110" customWidth="1"/>
    <col min="21" max="21" width="18.7109375" style="69" customWidth="1"/>
    <col min="22" max="16384" width="9.140625" style="69" customWidth="1"/>
  </cols>
  <sheetData>
    <row r="1" spans="1:21" ht="20.25">
      <c r="A1" s="66" t="s">
        <v>0</v>
      </c>
      <c r="B1" s="66"/>
      <c r="C1" s="67"/>
      <c r="D1" s="68"/>
      <c r="F1" s="68"/>
      <c r="G1" s="68"/>
      <c r="H1" s="68"/>
      <c r="I1" s="68"/>
      <c r="J1" s="68"/>
      <c r="K1" s="69"/>
      <c r="L1" s="69"/>
      <c r="M1" s="70"/>
      <c r="N1" s="69"/>
      <c r="O1" s="69"/>
      <c r="P1" s="69"/>
      <c r="Q1" s="69"/>
      <c r="R1" s="69"/>
      <c r="S1" s="69"/>
      <c r="T1" s="69"/>
      <c r="U1" s="4"/>
    </row>
    <row r="2" spans="1:21" ht="18.75">
      <c r="A2" s="71" t="s">
        <v>1</v>
      </c>
      <c r="B2" s="72"/>
      <c r="C2" s="73"/>
      <c r="D2" s="68"/>
      <c r="F2" s="68"/>
      <c r="G2" s="68"/>
      <c r="H2" s="68"/>
      <c r="I2" s="68"/>
      <c r="J2" s="68"/>
      <c r="K2" s="69"/>
      <c r="L2" s="69"/>
      <c r="M2" s="70"/>
      <c r="N2" s="69"/>
      <c r="O2" s="69"/>
      <c r="P2" s="69"/>
      <c r="Q2" s="69"/>
      <c r="R2" s="69"/>
      <c r="S2" s="69"/>
      <c r="T2" s="69"/>
      <c r="U2" s="18" t="s">
        <v>2</v>
      </c>
    </row>
    <row r="3" spans="4:20" ht="6.75" customHeight="1">
      <c r="D3" s="75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5" s="79" customFormat="1" ht="18.75" customHeight="1">
      <c r="A4" s="76"/>
      <c r="B4" s="76"/>
      <c r="C4" s="77"/>
      <c r="D4" s="78" t="s">
        <v>178</v>
      </c>
      <c r="E4" s="78"/>
      <c r="K4" s="77"/>
      <c r="L4" s="80"/>
      <c r="M4" s="77"/>
      <c r="N4" s="77"/>
      <c r="O4" s="77"/>
      <c r="P4" s="77"/>
      <c r="Q4" s="77"/>
      <c r="R4" s="77"/>
      <c r="S4" s="77"/>
      <c r="T4" s="77"/>
      <c r="U4" s="27" t="s">
        <v>1236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9" customFormat="1" ht="6" customHeight="1" thickBot="1">
      <c r="A5" s="76"/>
      <c r="B5" s="76"/>
      <c r="C5" s="77"/>
      <c r="D5" s="78"/>
      <c r="E5" s="78"/>
      <c r="K5" s="77"/>
      <c r="L5" s="80"/>
      <c r="M5" s="77"/>
      <c r="N5" s="77"/>
      <c r="O5" s="77"/>
      <c r="P5" s="77"/>
      <c r="Q5" s="77"/>
      <c r="R5" s="77"/>
      <c r="S5" s="77"/>
      <c r="T5" s="77"/>
      <c r="U5" s="2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0" s="81" customFormat="1" ht="13.5" thickBot="1">
      <c r="A6" s="74"/>
      <c r="B6" s="74"/>
      <c r="F6" s="79"/>
      <c r="K6" s="82"/>
      <c r="L6" s="316" t="s">
        <v>179</v>
      </c>
      <c r="M6" s="317"/>
      <c r="N6" s="317"/>
      <c r="O6" s="317"/>
      <c r="P6" s="317"/>
      <c r="Q6" s="317"/>
      <c r="R6" s="318"/>
      <c r="S6" s="82"/>
      <c r="T6" s="82"/>
    </row>
    <row r="7" spans="1:21" s="95" customFormat="1" ht="22.5" customHeight="1" thickBot="1">
      <c r="A7" s="83" t="s">
        <v>109</v>
      </c>
      <c r="B7" s="84" t="s">
        <v>17</v>
      </c>
      <c r="C7" s="85" t="s">
        <v>4</v>
      </c>
      <c r="D7" s="86" t="s">
        <v>5</v>
      </c>
      <c r="E7" s="87" t="s">
        <v>6</v>
      </c>
      <c r="F7" s="88" t="s">
        <v>7</v>
      </c>
      <c r="G7" s="89" t="s">
        <v>8</v>
      </c>
      <c r="H7" s="89" t="s">
        <v>9</v>
      </c>
      <c r="I7" s="89" t="s">
        <v>10</v>
      </c>
      <c r="J7" s="44" t="s">
        <v>11</v>
      </c>
      <c r="K7" s="89" t="s">
        <v>12</v>
      </c>
      <c r="L7" s="90">
        <v>1</v>
      </c>
      <c r="M7" s="91">
        <v>2</v>
      </c>
      <c r="N7" s="91">
        <v>3</v>
      </c>
      <c r="O7" s="92" t="s">
        <v>180</v>
      </c>
      <c r="P7" s="91">
        <v>4</v>
      </c>
      <c r="Q7" s="91">
        <v>5</v>
      </c>
      <c r="R7" s="93">
        <v>6</v>
      </c>
      <c r="S7" s="94" t="s">
        <v>181</v>
      </c>
      <c r="T7" s="89" t="s">
        <v>14</v>
      </c>
      <c r="U7" s="89" t="s">
        <v>15</v>
      </c>
    </row>
    <row r="8" spans="1:22" s="108" customFormat="1" ht="19.5" customHeight="1">
      <c r="A8" s="50">
        <v>1</v>
      </c>
      <c r="B8" s="50"/>
      <c r="C8" s="96">
        <v>266</v>
      </c>
      <c r="D8" s="97" t="s">
        <v>182</v>
      </c>
      <c r="E8" s="98" t="s">
        <v>183</v>
      </c>
      <c r="F8" s="99" t="s">
        <v>184</v>
      </c>
      <c r="G8" s="100" t="s">
        <v>83</v>
      </c>
      <c r="H8" s="100"/>
      <c r="I8" s="101" t="s">
        <v>185</v>
      </c>
      <c r="J8" s="101"/>
      <c r="K8" s="102">
        <f aca="true" t="shared" si="0" ref="K8:K16">IF(ISBLANK(S8),"",TRUNC(0.0462*(S8+657.53)^2)-20000)</f>
        <v>989</v>
      </c>
      <c r="L8" s="103">
        <v>15.63</v>
      </c>
      <c r="M8" s="103">
        <v>16.16</v>
      </c>
      <c r="N8" s="103">
        <v>15.35</v>
      </c>
      <c r="O8" s="104">
        <v>8</v>
      </c>
      <c r="P8" s="103">
        <v>16.42</v>
      </c>
      <c r="Q8" s="103">
        <v>16.5</v>
      </c>
      <c r="R8" s="103">
        <v>16.22</v>
      </c>
      <c r="S8" s="105">
        <f aca="true" t="shared" si="1" ref="S8:S16">MAX(L8:N8,P8:R8)</f>
        <v>16.5</v>
      </c>
      <c r="T8" s="106" t="str">
        <f aca="true" t="shared" si="2" ref="T8:T16">IF(ISBLANK(S8),"",IF(S8&lt;8.5,"",IF(S8&gt;=17.2,"TSM",IF(S8&gt;=15.8,"SM",IF(S8&gt;=14,"KSM",IF(S8&gt;=12,"I A",IF(S8&gt;=10,"II A",IF(S8&gt;=8.5,"III A"))))))))</f>
        <v>SM</v>
      </c>
      <c r="U8" s="100" t="s">
        <v>186</v>
      </c>
      <c r="V8" s="107"/>
    </row>
    <row r="9" spans="1:22" s="108" customFormat="1" ht="19.5" customHeight="1">
      <c r="A9" s="50">
        <v>2</v>
      </c>
      <c r="B9" s="50">
        <v>1</v>
      </c>
      <c r="C9" s="96">
        <v>130</v>
      </c>
      <c r="D9" s="97" t="s">
        <v>121</v>
      </c>
      <c r="E9" s="98" t="s">
        <v>187</v>
      </c>
      <c r="F9" s="99" t="s">
        <v>188</v>
      </c>
      <c r="G9" s="100" t="s">
        <v>71</v>
      </c>
      <c r="H9" s="100" t="s">
        <v>72</v>
      </c>
      <c r="I9" s="101" t="s">
        <v>189</v>
      </c>
      <c r="J9" s="101" t="s">
        <v>78</v>
      </c>
      <c r="K9" s="102">
        <f t="shared" si="0"/>
        <v>927</v>
      </c>
      <c r="L9" s="103">
        <v>15.28</v>
      </c>
      <c r="M9" s="103" t="s">
        <v>190</v>
      </c>
      <c r="N9" s="103" t="s">
        <v>190</v>
      </c>
      <c r="O9" s="104">
        <v>7</v>
      </c>
      <c r="P9" s="103">
        <v>14.81</v>
      </c>
      <c r="Q9" s="103">
        <v>15.5</v>
      </c>
      <c r="R9" s="103">
        <v>14.89</v>
      </c>
      <c r="S9" s="105">
        <f t="shared" si="1"/>
        <v>15.5</v>
      </c>
      <c r="T9" s="106" t="str">
        <f t="shared" si="2"/>
        <v>KSM</v>
      </c>
      <c r="U9" s="100" t="s">
        <v>191</v>
      </c>
      <c r="V9" s="107"/>
    </row>
    <row r="10" spans="1:22" s="108" customFormat="1" ht="19.5" customHeight="1">
      <c r="A10" s="50">
        <v>3</v>
      </c>
      <c r="B10" s="50"/>
      <c r="C10" s="96">
        <v>159</v>
      </c>
      <c r="D10" s="97" t="s">
        <v>192</v>
      </c>
      <c r="E10" s="98" t="s">
        <v>193</v>
      </c>
      <c r="F10" s="99" t="s">
        <v>194</v>
      </c>
      <c r="G10" s="100" t="s">
        <v>71</v>
      </c>
      <c r="H10" s="100"/>
      <c r="I10" s="101" t="s">
        <v>73</v>
      </c>
      <c r="J10" s="101"/>
      <c r="K10" s="102">
        <f t="shared" si="0"/>
        <v>879</v>
      </c>
      <c r="L10" s="103">
        <v>14.16</v>
      </c>
      <c r="M10" s="103">
        <v>14.41</v>
      </c>
      <c r="N10" s="103">
        <v>14.15</v>
      </c>
      <c r="O10" s="104">
        <v>6</v>
      </c>
      <c r="P10" s="103">
        <v>13.81</v>
      </c>
      <c r="Q10" s="103">
        <v>14.73</v>
      </c>
      <c r="R10" s="103">
        <v>13.38</v>
      </c>
      <c r="S10" s="105">
        <f t="shared" si="1"/>
        <v>14.73</v>
      </c>
      <c r="T10" s="106" t="str">
        <f t="shared" si="2"/>
        <v>KSM</v>
      </c>
      <c r="U10" s="100" t="s">
        <v>195</v>
      </c>
      <c r="V10" s="107"/>
    </row>
    <row r="11" spans="1:22" s="108" customFormat="1" ht="19.5" customHeight="1">
      <c r="A11" s="50">
        <v>4</v>
      </c>
      <c r="B11" s="50"/>
      <c r="C11" s="96">
        <v>162</v>
      </c>
      <c r="D11" s="97" t="s">
        <v>196</v>
      </c>
      <c r="E11" s="98" t="s">
        <v>197</v>
      </c>
      <c r="F11" s="99" t="s">
        <v>198</v>
      </c>
      <c r="G11" s="100" t="s">
        <v>199</v>
      </c>
      <c r="H11" s="100" t="s">
        <v>200</v>
      </c>
      <c r="I11" s="101" t="s">
        <v>189</v>
      </c>
      <c r="J11" s="101"/>
      <c r="K11" s="102">
        <f t="shared" si="0"/>
        <v>849</v>
      </c>
      <c r="L11" s="103">
        <v>13.68</v>
      </c>
      <c r="M11" s="103" t="s">
        <v>190</v>
      </c>
      <c r="N11" s="103">
        <v>13.63</v>
      </c>
      <c r="O11" s="104">
        <v>5</v>
      </c>
      <c r="P11" s="103">
        <v>13.95</v>
      </c>
      <c r="Q11" s="103">
        <v>14.04</v>
      </c>
      <c r="R11" s="103">
        <v>14.25</v>
      </c>
      <c r="S11" s="105">
        <f t="shared" si="1"/>
        <v>14.25</v>
      </c>
      <c r="T11" s="106" t="str">
        <f t="shared" si="2"/>
        <v>KSM</v>
      </c>
      <c r="U11" s="100" t="s">
        <v>201</v>
      </c>
      <c r="V11" s="107"/>
    </row>
    <row r="12" spans="1:22" s="108" customFormat="1" ht="19.5" customHeight="1">
      <c r="A12" s="50">
        <v>5</v>
      </c>
      <c r="B12" s="50"/>
      <c r="C12" s="96">
        <v>86</v>
      </c>
      <c r="D12" s="97" t="s">
        <v>202</v>
      </c>
      <c r="E12" s="98" t="s">
        <v>203</v>
      </c>
      <c r="F12" s="99" t="s">
        <v>204</v>
      </c>
      <c r="G12" s="100" t="s">
        <v>71</v>
      </c>
      <c r="H12" s="100" t="s">
        <v>72</v>
      </c>
      <c r="I12" s="101" t="s">
        <v>73</v>
      </c>
      <c r="J12" s="101"/>
      <c r="K12" s="102">
        <f t="shared" si="0"/>
        <v>809</v>
      </c>
      <c r="L12" s="103">
        <v>13.61</v>
      </c>
      <c r="M12" s="103" t="s">
        <v>190</v>
      </c>
      <c r="N12" s="103">
        <v>13.53</v>
      </c>
      <c r="O12" s="104">
        <v>4</v>
      </c>
      <c r="P12" s="103" t="s">
        <v>190</v>
      </c>
      <c r="Q12" s="103">
        <v>12.95</v>
      </c>
      <c r="R12" s="103">
        <v>13.13</v>
      </c>
      <c r="S12" s="105">
        <f t="shared" si="1"/>
        <v>13.61</v>
      </c>
      <c r="T12" s="106" t="str">
        <f t="shared" si="2"/>
        <v>I A</v>
      </c>
      <c r="U12" s="100" t="s">
        <v>205</v>
      </c>
      <c r="V12" s="107"/>
    </row>
    <row r="13" spans="1:22" s="108" customFormat="1" ht="19.5" customHeight="1">
      <c r="A13" s="50">
        <v>6</v>
      </c>
      <c r="B13" s="50">
        <v>2</v>
      </c>
      <c r="C13" s="96">
        <v>66</v>
      </c>
      <c r="D13" s="97" t="s">
        <v>206</v>
      </c>
      <c r="E13" s="98" t="s">
        <v>207</v>
      </c>
      <c r="F13" s="99" t="s">
        <v>208</v>
      </c>
      <c r="G13" s="100" t="s">
        <v>209</v>
      </c>
      <c r="H13" s="100"/>
      <c r="I13" s="101"/>
      <c r="J13" s="101" t="s">
        <v>163</v>
      </c>
      <c r="K13" s="102">
        <f t="shared" si="0"/>
        <v>728</v>
      </c>
      <c r="L13" s="103">
        <v>11.53</v>
      </c>
      <c r="M13" s="103">
        <v>11.38</v>
      </c>
      <c r="N13" s="103">
        <v>11.57</v>
      </c>
      <c r="O13" s="104">
        <v>2</v>
      </c>
      <c r="P13" s="103">
        <v>12.3</v>
      </c>
      <c r="Q13" s="103">
        <v>11.19</v>
      </c>
      <c r="R13" s="103">
        <v>11.3</v>
      </c>
      <c r="S13" s="105">
        <f t="shared" si="1"/>
        <v>12.3</v>
      </c>
      <c r="T13" s="106" t="str">
        <f t="shared" si="2"/>
        <v>I A</v>
      </c>
      <c r="U13" s="109" t="s">
        <v>210</v>
      </c>
      <c r="V13" s="107"/>
    </row>
    <row r="14" spans="1:22" s="108" customFormat="1" ht="19.5" customHeight="1">
      <c r="A14" s="50">
        <v>7</v>
      </c>
      <c r="B14" s="50"/>
      <c r="C14" s="96">
        <v>106</v>
      </c>
      <c r="D14" s="97" t="s">
        <v>211</v>
      </c>
      <c r="E14" s="98" t="s">
        <v>212</v>
      </c>
      <c r="F14" s="99" t="s">
        <v>213</v>
      </c>
      <c r="G14" s="100" t="s">
        <v>71</v>
      </c>
      <c r="H14" s="100" t="s">
        <v>72</v>
      </c>
      <c r="I14" s="101"/>
      <c r="J14" s="101"/>
      <c r="K14" s="102">
        <f t="shared" si="0"/>
        <v>701</v>
      </c>
      <c r="L14" s="103">
        <v>11.23</v>
      </c>
      <c r="M14" s="103">
        <v>11.68</v>
      </c>
      <c r="N14" s="103">
        <v>11.14</v>
      </c>
      <c r="O14" s="104">
        <v>3</v>
      </c>
      <c r="P14" s="103">
        <v>11.86</v>
      </c>
      <c r="Q14" s="103">
        <v>11.79</v>
      </c>
      <c r="R14" s="103" t="s">
        <v>190</v>
      </c>
      <c r="S14" s="105">
        <f t="shared" si="1"/>
        <v>11.86</v>
      </c>
      <c r="T14" s="106" t="str">
        <f t="shared" si="2"/>
        <v>II A</v>
      </c>
      <c r="U14" s="100" t="s">
        <v>214</v>
      </c>
      <c r="V14" s="107"/>
    </row>
    <row r="15" spans="1:22" s="108" customFormat="1" ht="19.5" customHeight="1">
      <c r="A15" s="50">
        <v>8</v>
      </c>
      <c r="B15" s="50"/>
      <c r="C15" s="96">
        <v>69</v>
      </c>
      <c r="D15" s="97" t="s">
        <v>215</v>
      </c>
      <c r="E15" s="98" t="s">
        <v>216</v>
      </c>
      <c r="F15" s="99" t="s">
        <v>217</v>
      </c>
      <c r="G15" s="100" t="s">
        <v>83</v>
      </c>
      <c r="H15" s="100" t="s">
        <v>218</v>
      </c>
      <c r="I15" s="101" t="s">
        <v>84</v>
      </c>
      <c r="J15" s="101"/>
      <c r="K15" s="102">
        <f t="shared" si="0"/>
        <v>647</v>
      </c>
      <c r="L15" s="103">
        <v>9.9</v>
      </c>
      <c r="M15" s="103">
        <v>10.99</v>
      </c>
      <c r="N15" s="103">
        <v>10.36</v>
      </c>
      <c r="O15" s="104">
        <v>1</v>
      </c>
      <c r="P15" s="103">
        <v>10.07</v>
      </c>
      <c r="Q15" s="103">
        <v>10.57</v>
      </c>
      <c r="R15" s="103" t="s">
        <v>190</v>
      </c>
      <c r="S15" s="105">
        <f t="shared" si="1"/>
        <v>10.99</v>
      </c>
      <c r="T15" s="106" t="str">
        <f t="shared" si="2"/>
        <v>II A</v>
      </c>
      <c r="U15" s="100" t="s">
        <v>219</v>
      </c>
      <c r="V15" s="107"/>
    </row>
    <row r="16" spans="1:22" s="108" customFormat="1" ht="19.5" customHeight="1">
      <c r="A16" s="50">
        <v>9</v>
      </c>
      <c r="B16" s="50"/>
      <c r="C16" s="96">
        <v>167</v>
      </c>
      <c r="D16" s="97" t="s">
        <v>220</v>
      </c>
      <c r="E16" s="98" t="s">
        <v>221</v>
      </c>
      <c r="F16" s="99" t="s">
        <v>222</v>
      </c>
      <c r="G16" s="100" t="s">
        <v>132</v>
      </c>
      <c r="H16" s="100" t="s">
        <v>131</v>
      </c>
      <c r="I16" s="101" t="s">
        <v>223</v>
      </c>
      <c r="J16" s="101"/>
      <c r="K16" s="102">
        <f t="shared" si="0"/>
        <v>536</v>
      </c>
      <c r="L16" s="103">
        <v>9.13</v>
      </c>
      <c r="M16" s="103" t="s">
        <v>190</v>
      </c>
      <c r="N16" s="103">
        <v>9.18</v>
      </c>
      <c r="O16" s="104"/>
      <c r="P16" s="103"/>
      <c r="Q16" s="103"/>
      <c r="R16" s="103"/>
      <c r="S16" s="105">
        <f t="shared" si="1"/>
        <v>9.18</v>
      </c>
      <c r="T16" s="106" t="str">
        <f t="shared" si="2"/>
        <v>III A</v>
      </c>
      <c r="U16" s="100" t="s">
        <v>224</v>
      </c>
      <c r="V16" s="107"/>
    </row>
  </sheetData>
  <sheetProtection/>
  <mergeCells count="1">
    <mergeCell ref="L6:R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AI20"/>
  <sheetViews>
    <sheetView showZeros="0" zoomScalePageLayoutView="0" workbookViewId="0" topLeftCell="A1">
      <selection activeCell="U4" sqref="U4"/>
    </sheetView>
  </sheetViews>
  <sheetFormatPr defaultColWidth="9.140625" defaultRowHeight="15"/>
  <cols>
    <col min="1" max="1" width="4.28125" style="74" customWidth="1"/>
    <col min="2" max="2" width="3.7109375" style="69" customWidth="1"/>
    <col min="3" max="3" width="4.421875" style="69" hidden="1" customWidth="1"/>
    <col min="4" max="4" width="8.7109375" style="69" customWidth="1"/>
    <col min="5" max="5" width="11.28125" style="69" customWidth="1"/>
    <col min="6" max="6" width="7.28125" style="69" bestFit="1" customWidth="1"/>
    <col min="7" max="7" width="11.57421875" style="69" customWidth="1"/>
    <col min="8" max="8" width="8.28125" style="69" customWidth="1"/>
    <col min="9" max="9" width="7.8515625" style="69" customWidth="1"/>
    <col min="10" max="10" width="4.140625" style="69" customWidth="1"/>
    <col min="11" max="11" width="5.140625" style="110" customWidth="1"/>
    <col min="12" max="14" width="5.421875" style="77" customWidth="1"/>
    <col min="15" max="15" width="3.00390625" style="77" customWidth="1"/>
    <col min="16" max="18" width="5.421875" style="77" customWidth="1"/>
    <col min="19" max="19" width="5.57421875" style="77" customWidth="1"/>
    <col min="20" max="20" width="4.8515625" style="110" customWidth="1"/>
    <col min="21" max="21" width="17.28125" style="69" customWidth="1"/>
    <col min="22" max="16384" width="9.140625" style="69" customWidth="1"/>
  </cols>
  <sheetData>
    <row r="1" spans="1:21" ht="20.25">
      <c r="A1" s="66" t="s">
        <v>0</v>
      </c>
      <c r="B1" s="67"/>
      <c r="C1" s="67"/>
      <c r="D1" s="68"/>
      <c r="F1" s="68"/>
      <c r="G1" s="68"/>
      <c r="H1" s="68"/>
      <c r="I1" s="68"/>
      <c r="J1" s="68"/>
      <c r="K1" s="69"/>
      <c r="L1" s="69"/>
      <c r="M1" s="70"/>
      <c r="N1" s="69"/>
      <c r="O1" s="69"/>
      <c r="P1" s="69"/>
      <c r="Q1" s="69"/>
      <c r="R1" s="69"/>
      <c r="S1" s="69"/>
      <c r="T1" s="69"/>
      <c r="U1" s="4"/>
    </row>
    <row r="2" spans="1:21" ht="18.75">
      <c r="A2" s="71" t="s">
        <v>1</v>
      </c>
      <c r="B2" s="73"/>
      <c r="C2" s="73"/>
      <c r="D2" s="68"/>
      <c r="F2" s="68"/>
      <c r="G2" s="68"/>
      <c r="H2" s="68"/>
      <c r="I2" s="68"/>
      <c r="J2" s="68"/>
      <c r="K2" s="69"/>
      <c r="L2" s="69"/>
      <c r="M2" s="70"/>
      <c r="N2" s="69"/>
      <c r="O2" s="69"/>
      <c r="P2" s="69"/>
      <c r="Q2" s="69"/>
      <c r="R2" s="69"/>
      <c r="S2" s="69"/>
      <c r="T2" s="69"/>
      <c r="U2" s="18" t="s">
        <v>2</v>
      </c>
    </row>
    <row r="3" spans="4:20" ht="6.75" customHeight="1">
      <c r="D3" s="75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5" s="79" customFormat="1" ht="18.75" customHeight="1">
      <c r="A4" s="76"/>
      <c r="B4" s="77"/>
      <c r="C4" s="77"/>
      <c r="D4" s="78" t="s">
        <v>1152</v>
      </c>
      <c r="E4" s="78"/>
      <c r="K4" s="77"/>
      <c r="L4" s="80"/>
      <c r="M4" s="77"/>
      <c r="N4" s="77"/>
      <c r="O4" s="77"/>
      <c r="P4" s="77"/>
      <c r="Q4" s="77"/>
      <c r="R4" s="77"/>
      <c r="S4" s="77"/>
      <c r="T4" s="77"/>
      <c r="U4" s="27" t="s">
        <v>1236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9" customFormat="1" ht="6" customHeight="1" thickBot="1">
      <c r="A5" s="76"/>
      <c r="B5" s="77"/>
      <c r="C5" s="77"/>
      <c r="D5" s="78"/>
      <c r="E5" s="78"/>
      <c r="K5" s="77"/>
      <c r="L5" s="80"/>
      <c r="M5" s="77"/>
      <c r="N5" s="77"/>
      <c r="O5" s="77"/>
      <c r="P5" s="77"/>
      <c r="Q5" s="77"/>
      <c r="R5" s="77"/>
      <c r="S5" s="77"/>
      <c r="T5" s="77"/>
      <c r="U5" s="2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0" s="81" customFormat="1" ht="13.5" thickBot="1">
      <c r="A6" s="74"/>
      <c r="F6" s="79"/>
      <c r="K6" s="82"/>
      <c r="L6" s="316" t="s">
        <v>179</v>
      </c>
      <c r="M6" s="317"/>
      <c r="N6" s="317"/>
      <c r="O6" s="317"/>
      <c r="P6" s="317"/>
      <c r="Q6" s="317"/>
      <c r="R6" s="318"/>
      <c r="S6" s="82"/>
      <c r="T6" s="82"/>
    </row>
    <row r="7" spans="1:21" s="95" customFormat="1" ht="22.5" customHeight="1" thickBot="1">
      <c r="A7" s="83" t="s">
        <v>109</v>
      </c>
      <c r="B7" s="264" t="s">
        <v>17</v>
      </c>
      <c r="C7" s="85" t="s">
        <v>4</v>
      </c>
      <c r="D7" s="86" t="s">
        <v>5</v>
      </c>
      <c r="E7" s="87" t="s">
        <v>6</v>
      </c>
      <c r="F7" s="88" t="s">
        <v>7</v>
      </c>
      <c r="G7" s="89" t="s">
        <v>8</v>
      </c>
      <c r="H7" s="89" t="s">
        <v>9</v>
      </c>
      <c r="I7" s="89" t="s">
        <v>10</v>
      </c>
      <c r="J7" s="44" t="s">
        <v>11</v>
      </c>
      <c r="K7" s="89" t="s">
        <v>12</v>
      </c>
      <c r="L7" s="90">
        <v>1</v>
      </c>
      <c r="M7" s="91">
        <v>2</v>
      </c>
      <c r="N7" s="91">
        <v>3</v>
      </c>
      <c r="O7" s="92" t="s">
        <v>180</v>
      </c>
      <c r="P7" s="91">
        <v>4</v>
      </c>
      <c r="Q7" s="91">
        <v>5</v>
      </c>
      <c r="R7" s="93">
        <v>6</v>
      </c>
      <c r="S7" s="94" t="s">
        <v>181</v>
      </c>
      <c r="T7" s="89" t="s">
        <v>14</v>
      </c>
      <c r="U7" s="89" t="s">
        <v>15</v>
      </c>
    </row>
    <row r="8" spans="1:22" s="108" customFormat="1" ht="19.5" customHeight="1">
      <c r="A8" s="50">
        <v>1</v>
      </c>
      <c r="B8" s="263">
        <v>1</v>
      </c>
      <c r="C8" s="263">
        <v>172</v>
      </c>
      <c r="D8" s="97" t="s">
        <v>646</v>
      </c>
      <c r="E8" s="98" t="s">
        <v>1151</v>
      </c>
      <c r="F8" s="99" t="s">
        <v>1150</v>
      </c>
      <c r="G8" s="100" t="s">
        <v>132</v>
      </c>
      <c r="H8" s="100" t="s">
        <v>173</v>
      </c>
      <c r="I8" s="101" t="s">
        <v>65</v>
      </c>
      <c r="J8" s="101" t="s">
        <v>171</v>
      </c>
      <c r="K8" s="102">
        <f aca="true" t="shared" si="0" ref="K8:K20">IF(ISBLANK(S8),"",TRUNC(0.042172*(S8+687.7)^2)-20000)</f>
        <v>1089</v>
      </c>
      <c r="L8" s="103">
        <v>18.9</v>
      </c>
      <c r="M8" s="103">
        <v>19.01</v>
      </c>
      <c r="N8" s="103" t="s">
        <v>190</v>
      </c>
      <c r="O8" s="104">
        <v>8</v>
      </c>
      <c r="P8" s="103" t="s">
        <v>190</v>
      </c>
      <c r="Q8" s="103" t="s">
        <v>190</v>
      </c>
      <c r="R8" s="103">
        <v>19.46</v>
      </c>
      <c r="S8" s="105">
        <f aca="true" t="shared" si="1" ref="S8:S20">MAX(L8:N8,P8:R8)</f>
        <v>19.46</v>
      </c>
      <c r="T8" s="106" t="str">
        <f aca="true" t="shared" si="2" ref="T8:T20">IF(ISBLANK(S8),"",IF(S8&lt;10.2,"",IF(S8&gt;=19.9,"TSM",IF(S8&gt;=17.5,"SM",IF(S8&gt;=15.6,"KSM",IF(S8&gt;=13.8,"I A",IF(S8&gt;=12,"II A",IF(S8&gt;=10.2,"III A"))))))))</f>
        <v>SM</v>
      </c>
      <c r="U8" s="262" t="s">
        <v>1131</v>
      </c>
      <c r="V8" s="107"/>
    </row>
    <row r="9" spans="1:22" s="108" customFormat="1" ht="19.5" customHeight="1">
      <c r="A9" s="50">
        <v>2</v>
      </c>
      <c r="B9" s="263"/>
      <c r="C9" s="263">
        <v>163</v>
      </c>
      <c r="D9" s="97" t="s">
        <v>1149</v>
      </c>
      <c r="E9" s="98" t="s">
        <v>1148</v>
      </c>
      <c r="F9" s="99" t="s">
        <v>1147</v>
      </c>
      <c r="G9" s="100" t="s">
        <v>1146</v>
      </c>
      <c r="H9" s="100" t="s">
        <v>200</v>
      </c>
      <c r="I9" s="101" t="s">
        <v>73</v>
      </c>
      <c r="J9" s="101"/>
      <c r="K9" s="102">
        <f t="shared" si="0"/>
        <v>989</v>
      </c>
      <c r="L9" s="103">
        <v>16.38</v>
      </c>
      <c r="M9" s="103" t="s">
        <v>190</v>
      </c>
      <c r="N9" s="103">
        <v>17.78</v>
      </c>
      <c r="O9" s="104">
        <v>7</v>
      </c>
      <c r="P9" s="103" t="s">
        <v>190</v>
      </c>
      <c r="Q9" s="103" t="s">
        <v>190</v>
      </c>
      <c r="R9" s="103">
        <v>16.18</v>
      </c>
      <c r="S9" s="105">
        <f t="shared" si="1"/>
        <v>17.78</v>
      </c>
      <c r="T9" s="106" t="str">
        <f t="shared" si="2"/>
        <v>SM</v>
      </c>
      <c r="U9" s="262" t="s">
        <v>201</v>
      </c>
      <c r="V9" s="107"/>
    </row>
    <row r="10" spans="1:22" s="108" customFormat="1" ht="19.5" customHeight="1">
      <c r="A10" s="50">
        <v>3</v>
      </c>
      <c r="B10" s="263">
        <v>2</v>
      </c>
      <c r="C10" s="263">
        <v>93</v>
      </c>
      <c r="D10" s="97" t="s">
        <v>487</v>
      </c>
      <c r="E10" s="98" t="s">
        <v>1145</v>
      </c>
      <c r="F10" s="99" t="s">
        <v>1144</v>
      </c>
      <c r="G10" s="100" t="s">
        <v>83</v>
      </c>
      <c r="H10" s="100" t="s">
        <v>237</v>
      </c>
      <c r="I10" s="101" t="s">
        <v>189</v>
      </c>
      <c r="J10" s="101" t="s">
        <v>287</v>
      </c>
      <c r="K10" s="102">
        <f t="shared" si="0"/>
        <v>945</v>
      </c>
      <c r="L10" s="103">
        <v>16.05</v>
      </c>
      <c r="M10" s="103">
        <v>16.22</v>
      </c>
      <c r="N10" s="103">
        <v>17.05</v>
      </c>
      <c r="O10" s="104">
        <v>6</v>
      </c>
      <c r="P10" s="103">
        <v>16.35</v>
      </c>
      <c r="Q10" s="103" t="s">
        <v>190</v>
      </c>
      <c r="R10" s="103">
        <v>16.6</v>
      </c>
      <c r="S10" s="105">
        <f t="shared" si="1"/>
        <v>17.05</v>
      </c>
      <c r="T10" s="106" t="str">
        <f t="shared" si="2"/>
        <v>KSM</v>
      </c>
      <c r="U10" s="262" t="s">
        <v>951</v>
      </c>
      <c r="V10" s="107"/>
    </row>
    <row r="11" spans="1:22" s="108" customFormat="1" ht="19.5" customHeight="1">
      <c r="A11" s="50">
        <v>4</v>
      </c>
      <c r="B11" s="263"/>
      <c r="C11" s="263">
        <v>154</v>
      </c>
      <c r="D11" s="97" t="s">
        <v>1143</v>
      </c>
      <c r="E11" s="98" t="s">
        <v>1142</v>
      </c>
      <c r="F11" s="99" t="s">
        <v>1141</v>
      </c>
      <c r="G11" s="100" t="s">
        <v>71</v>
      </c>
      <c r="H11" s="100"/>
      <c r="I11" s="101"/>
      <c r="J11" s="101"/>
      <c r="K11" s="102">
        <f t="shared" si="0"/>
        <v>932</v>
      </c>
      <c r="L11" s="103">
        <v>16</v>
      </c>
      <c r="M11" s="103">
        <v>16.82</v>
      </c>
      <c r="N11" s="103" t="s">
        <v>190</v>
      </c>
      <c r="O11" s="104">
        <v>5</v>
      </c>
      <c r="P11" s="103">
        <v>15.89</v>
      </c>
      <c r="Q11" s="103" t="s">
        <v>190</v>
      </c>
      <c r="R11" s="103" t="s">
        <v>190</v>
      </c>
      <c r="S11" s="105">
        <f t="shared" si="1"/>
        <v>16.82</v>
      </c>
      <c r="T11" s="106" t="str">
        <f t="shared" si="2"/>
        <v>KSM</v>
      </c>
      <c r="U11" s="262" t="s">
        <v>1140</v>
      </c>
      <c r="V11" s="107"/>
    </row>
    <row r="12" spans="1:22" s="108" customFormat="1" ht="19.5" customHeight="1">
      <c r="A12" s="50">
        <v>5</v>
      </c>
      <c r="B12" s="263"/>
      <c r="C12" s="263">
        <v>171</v>
      </c>
      <c r="D12" s="97" t="s">
        <v>270</v>
      </c>
      <c r="E12" s="98" t="s">
        <v>1139</v>
      </c>
      <c r="F12" s="99" t="s">
        <v>1058</v>
      </c>
      <c r="G12" s="100" t="s">
        <v>1138</v>
      </c>
      <c r="H12" s="100" t="s">
        <v>173</v>
      </c>
      <c r="I12" s="101" t="s">
        <v>73</v>
      </c>
      <c r="J12" s="101"/>
      <c r="K12" s="102">
        <f t="shared" si="0"/>
        <v>929</v>
      </c>
      <c r="L12" s="103">
        <v>15.99</v>
      </c>
      <c r="M12" s="103">
        <v>16.74</v>
      </c>
      <c r="N12" s="103">
        <v>16.37</v>
      </c>
      <c r="O12" s="104">
        <v>4</v>
      </c>
      <c r="P12" s="103" t="s">
        <v>190</v>
      </c>
      <c r="Q12" s="103">
        <v>16.77</v>
      </c>
      <c r="R12" s="103" t="s">
        <v>190</v>
      </c>
      <c r="S12" s="105">
        <f t="shared" si="1"/>
        <v>16.77</v>
      </c>
      <c r="T12" s="106" t="str">
        <f t="shared" si="2"/>
        <v>KSM</v>
      </c>
      <c r="U12" s="262" t="s">
        <v>1137</v>
      </c>
      <c r="V12" s="107"/>
    </row>
    <row r="13" spans="1:22" s="108" customFormat="1" ht="19.5" customHeight="1">
      <c r="A13" s="50">
        <v>6</v>
      </c>
      <c r="B13" s="263"/>
      <c r="C13" s="263">
        <v>168</v>
      </c>
      <c r="D13" s="97" t="s">
        <v>1136</v>
      </c>
      <c r="E13" s="98" t="s">
        <v>1135</v>
      </c>
      <c r="F13" s="99" t="s">
        <v>1134</v>
      </c>
      <c r="G13" s="100" t="s">
        <v>132</v>
      </c>
      <c r="H13" s="100" t="s">
        <v>131</v>
      </c>
      <c r="I13" s="101" t="s">
        <v>223</v>
      </c>
      <c r="J13" s="101"/>
      <c r="K13" s="102">
        <f t="shared" si="0"/>
        <v>927</v>
      </c>
      <c r="L13" s="103" t="s">
        <v>190</v>
      </c>
      <c r="M13" s="103" t="s">
        <v>190</v>
      </c>
      <c r="N13" s="103">
        <v>15.68</v>
      </c>
      <c r="O13" s="104">
        <v>2</v>
      </c>
      <c r="P13" s="103">
        <v>16.74</v>
      </c>
      <c r="Q13" s="103" t="s">
        <v>190</v>
      </c>
      <c r="R13" s="103" t="s">
        <v>190</v>
      </c>
      <c r="S13" s="105">
        <f t="shared" si="1"/>
        <v>16.74</v>
      </c>
      <c r="T13" s="106" t="str">
        <f t="shared" si="2"/>
        <v>KSM</v>
      </c>
      <c r="U13" s="262" t="s">
        <v>1128</v>
      </c>
      <c r="V13" s="107"/>
    </row>
    <row r="14" spans="1:22" s="108" customFormat="1" ht="19.5" customHeight="1">
      <c r="A14" s="50">
        <v>7</v>
      </c>
      <c r="B14" s="263">
        <v>3</v>
      </c>
      <c r="C14" s="263">
        <v>170</v>
      </c>
      <c r="D14" s="97" t="s">
        <v>736</v>
      </c>
      <c r="E14" s="98" t="s">
        <v>1133</v>
      </c>
      <c r="F14" s="99" t="s">
        <v>1132</v>
      </c>
      <c r="G14" s="100" t="s">
        <v>132</v>
      </c>
      <c r="H14" s="100"/>
      <c r="I14" s="101" t="s">
        <v>223</v>
      </c>
      <c r="J14" s="101" t="s">
        <v>287</v>
      </c>
      <c r="K14" s="102">
        <f t="shared" si="0"/>
        <v>872</v>
      </c>
      <c r="L14" s="103">
        <v>15.82</v>
      </c>
      <c r="M14" s="103" t="s">
        <v>190</v>
      </c>
      <c r="N14" s="103">
        <v>15.62</v>
      </c>
      <c r="O14" s="104">
        <v>3</v>
      </c>
      <c r="P14" s="103" t="s">
        <v>190</v>
      </c>
      <c r="Q14" s="103">
        <v>15.63</v>
      </c>
      <c r="R14" s="103">
        <v>15.58</v>
      </c>
      <c r="S14" s="105">
        <f t="shared" si="1"/>
        <v>15.82</v>
      </c>
      <c r="T14" s="106" t="str">
        <f t="shared" si="2"/>
        <v>KSM</v>
      </c>
      <c r="U14" s="262" t="s">
        <v>1131</v>
      </c>
      <c r="V14" s="107"/>
    </row>
    <row r="15" spans="1:22" s="108" customFormat="1" ht="19.5" customHeight="1">
      <c r="A15" s="50">
        <v>8</v>
      </c>
      <c r="B15" s="263">
        <v>4</v>
      </c>
      <c r="C15" s="263">
        <v>169</v>
      </c>
      <c r="D15" s="97" t="s">
        <v>487</v>
      </c>
      <c r="E15" s="98" t="s">
        <v>1130</v>
      </c>
      <c r="F15" s="99" t="s">
        <v>1129</v>
      </c>
      <c r="G15" s="100" t="s">
        <v>132</v>
      </c>
      <c r="H15" s="100" t="s">
        <v>173</v>
      </c>
      <c r="I15" s="101" t="s">
        <v>223</v>
      </c>
      <c r="J15" s="101" t="s">
        <v>171</v>
      </c>
      <c r="K15" s="102">
        <f t="shared" si="0"/>
        <v>861</v>
      </c>
      <c r="L15" s="103" t="s">
        <v>190</v>
      </c>
      <c r="M15" s="103">
        <v>15.56</v>
      </c>
      <c r="N15" s="103" t="s">
        <v>190</v>
      </c>
      <c r="O15" s="104">
        <v>1</v>
      </c>
      <c r="P15" s="103">
        <v>15.63</v>
      </c>
      <c r="Q15" s="103" t="s">
        <v>190</v>
      </c>
      <c r="R15" s="103" t="s">
        <v>190</v>
      </c>
      <c r="S15" s="105">
        <f t="shared" si="1"/>
        <v>15.63</v>
      </c>
      <c r="T15" s="106" t="str">
        <f t="shared" si="2"/>
        <v>KSM</v>
      </c>
      <c r="U15" s="262" t="s">
        <v>1128</v>
      </c>
      <c r="V15" s="107"/>
    </row>
    <row r="16" spans="1:22" s="108" customFormat="1" ht="19.5" customHeight="1">
      <c r="A16" s="50">
        <v>9</v>
      </c>
      <c r="B16" s="263">
        <v>5</v>
      </c>
      <c r="C16" s="263">
        <v>174</v>
      </c>
      <c r="D16" s="97" t="s">
        <v>487</v>
      </c>
      <c r="E16" s="98" t="s">
        <v>1127</v>
      </c>
      <c r="F16" s="99" t="s">
        <v>1126</v>
      </c>
      <c r="G16" s="100" t="s">
        <v>83</v>
      </c>
      <c r="H16" s="100" t="s">
        <v>243</v>
      </c>
      <c r="I16" s="101" t="s">
        <v>189</v>
      </c>
      <c r="J16" s="101" t="s">
        <v>287</v>
      </c>
      <c r="K16" s="102">
        <f t="shared" si="0"/>
        <v>845</v>
      </c>
      <c r="L16" s="103">
        <v>15.37</v>
      </c>
      <c r="M16" s="103" t="s">
        <v>190</v>
      </c>
      <c r="N16" s="103" t="s">
        <v>190</v>
      </c>
      <c r="O16" s="104"/>
      <c r="P16" s="103"/>
      <c r="Q16" s="103"/>
      <c r="R16" s="103"/>
      <c r="S16" s="105">
        <f t="shared" si="1"/>
        <v>15.37</v>
      </c>
      <c r="T16" s="106" t="str">
        <f t="shared" si="2"/>
        <v>I A</v>
      </c>
      <c r="U16" s="262" t="s">
        <v>1125</v>
      </c>
      <c r="V16" s="107"/>
    </row>
    <row r="17" spans="1:22" s="108" customFormat="1" ht="19.5" customHeight="1">
      <c r="A17" s="50">
        <v>10</v>
      </c>
      <c r="B17" s="263"/>
      <c r="C17" s="263">
        <v>84</v>
      </c>
      <c r="D17" s="97" t="s">
        <v>839</v>
      </c>
      <c r="E17" s="98" t="s">
        <v>1124</v>
      </c>
      <c r="F17" s="99" t="s">
        <v>1123</v>
      </c>
      <c r="G17" s="100" t="s">
        <v>298</v>
      </c>
      <c r="H17" s="100" t="s">
        <v>9</v>
      </c>
      <c r="I17" s="101" t="s">
        <v>1122</v>
      </c>
      <c r="J17" s="101"/>
      <c r="K17" s="102">
        <f t="shared" si="0"/>
        <v>673</v>
      </c>
      <c r="L17" s="103">
        <v>12.35</v>
      </c>
      <c r="M17" s="103">
        <v>11.52</v>
      </c>
      <c r="N17" s="103">
        <v>12.45</v>
      </c>
      <c r="O17" s="104"/>
      <c r="P17" s="103"/>
      <c r="Q17" s="103"/>
      <c r="R17" s="103"/>
      <c r="S17" s="105">
        <f t="shared" si="1"/>
        <v>12.45</v>
      </c>
      <c r="T17" s="106" t="str">
        <f t="shared" si="2"/>
        <v>II A</v>
      </c>
      <c r="U17" s="262" t="s">
        <v>1121</v>
      </c>
      <c r="V17" s="107"/>
    </row>
    <row r="18" spans="1:22" s="108" customFormat="1" ht="19.5" customHeight="1">
      <c r="A18" s="50">
        <v>11</v>
      </c>
      <c r="B18" s="263"/>
      <c r="C18" s="263">
        <v>54</v>
      </c>
      <c r="D18" s="97" t="s">
        <v>1120</v>
      </c>
      <c r="E18" s="98" t="s">
        <v>1119</v>
      </c>
      <c r="F18" s="99" t="s">
        <v>1118</v>
      </c>
      <c r="G18" s="100" t="s">
        <v>43</v>
      </c>
      <c r="H18" s="100" t="s">
        <v>1117</v>
      </c>
      <c r="I18" s="101" t="s">
        <v>320</v>
      </c>
      <c r="J18" s="101"/>
      <c r="K18" s="102">
        <f t="shared" si="0"/>
        <v>650</v>
      </c>
      <c r="L18" s="103">
        <v>11.96</v>
      </c>
      <c r="M18" s="103" t="s">
        <v>190</v>
      </c>
      <c r="N18" s="103">
        <v>12.06</v>
      </c>
      <c r="O18" s="104"/>
      <c r="P18" s="103"/>
      <c r="Q18" s="103"/>
      <c r="R18" s="103"/>
      <c r="S18" s="105">
        <f t="shared" si="1"/>
        <v>12.06</v>
      </c>
      <c r="T18" s="106" t="str">
        <f t="shared" si="2"/>
        <v>II A</v>
      </c>
      <c r="U18" s="262" t="s">
        <v>1116</v>
      </c>
      <c r="V18" s="107"/>
    </row>
    <row r="19" spans="1:22" s="108" customFormat="1" ht="19.5" customHeight="1">
      <c r="A19" s="50">
        <v>12</v>
      </c>
      <c r="B19" s="263"/>
      <c r="C19" s="263">
        <v>53</v>
      </c>
      <c r="D19" s="97" t="s">
        <v>804</v>
      </c>
      <c r="E19" s="98" t="s">
        <v>1115</v>
      </c>
      <c r="F19" s="99" t="s">
        <v>1114</v>
      </c>
      <c r="G19" s="100" t="s">
        <v>43</v>
      </c>
      <c r="H19" s="100" t="s">
        <v>148</v>
      </c>
      <c r="I19" s="101" t="s">
        <v>320</v>
      </c>
      <c r="J19" s="101"/>
      <c r="K19" s="102">
        <f t="shared" si="0"/>
        <v>642</v>
      </c>
      <c r="L19" s="103">
        <v>11.15</v>
      </c>
      <c r="M19" s="103">
        <v>11.93</v>
      </c>
      <c r="N19" s="103" t="s">
        <v>190</v>
      </c>
      <c r="O19" s="104"/>
      <c r="P19" s="103"/>
      <c r="Q19" s="103"/>
      <c r="R19" s="103"/>
      <c r="S19" s="105">
        <f t="shared" si="1"/>
        <v>11.93</v>
      </c>
      <c r="T19" s="106" t="str">
        <f t="shared" si="2"/>
        <v>III A</v>
      </c>
      <c r="U19" s="262" t="s">
        <v>1113</v>
      </c>
      <c r="V19" s="107"/>
    </row>
    <row r="20" spans="1:22" s="108" customFormat="1" ht="19.5" customHeight="1">
      <c r="A20" s="50">
        <v>13</v>
      </c>
      <c r="B20" s="263">
        <v>6</v>
      </c>
      <c r="C20" s="263">
        <v>151</v>
      </c>
      <c r="D20" s="97" t="s">
        <v>257</v>
      </c>
      <c r="E20" s="98" t="s">
        <v>256</v>
      </c>
      <c r="F20" s="99" t="s">
        <v>255</v>
      </c>
      <c r="G20" s="100" t="s">
        <v>83</v>
      </c>
      <c r="H20" s="100"/>
      <c r="I20" s="101"/>
      <c r="J20" s="101" t="s">
        <v>85</v>
      </c>
      <c r="K20" s="102">
        <f t="shared" si="0"/>
        <v>640</v>
      </c>
      <c r="L20" s="103">
        <v>11.73</v>
      </c>
      <c r="M20" s="103">
        <v>11.9</v>
      </c>
      <c r="N20" s="103" t="s">
        <v>190</v>
      </c>
      <c r="O20" s="104"/>
      <c r="P20" s="103"/>
      <c r="Q20" s="103"/>
      <c r="R20" s="103"/>
      <c r="S20" s="105">
        <f t="shared" si="1"/>
        <v>11.9</v>
      </c>
      <c r="T20" s="106" t="str">
        <f t="shared" si="2"/>
        <v>III A</v>
      </c>
      <c r="U20" s="262" t="s">
        <v>254</v>
      </c>
      <c r="V20" s="107"/>
    </row>
  </sheetData>
  <sheetProtection/>
  <mergeCells count="1">
    <mergeCell ref="L6:R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7"/>
  <sheetViews>
    <sheetView showZeros="0" zoomScalePageLayoutView="0" workbookViewId="0" topLeftCell="A1">
      <selection activeCell="U4" sqref="U4"/>
    </sheetView>
  </sheetViews>
  <sheetFormatPr defaultColWidth="9.140625" defaultRowHeight="15"/>
  <cols>
    <col min="1" max="1" width="4.140625" style="74" customWidth="1"/>
    <col min="2" max="2" width="3.57421875" style="74" customWidth="1"/>
    <col min="3" max="3" width="3.8515625" style="69" hidden="1" customWidth="1"/>
    <col min="4" max="4" width="10.28125" style="69" customWidth="1"/>
    <col min="5" max="5" width="11.421875" style="69" customWidth="1"/>
    <col min="6" max="6" width="8.8515625" style="69" customWidth="1"/>
    <col min="7" max="7" width="8.421875" style="69" customWidth="1"/>
    <col min="8" max="8" width="6.8515625" style="69" customWidth="1"/>
    <col min="9" max="9" width="11.7109375" style="69" customWidth="1"/>
    <col min="10" max="10" width="5.421875" style="69" customWidth="1"/>
    <col min="11" max="11" width="5.140625" style="110" customWidth="1"/>
    <col min="12" max="14" width="5.00390625" style="77" customWidth="1"/>
    <col min="15" max="15" width="3.140625" style="77" customWidth="1"/>
    <col min="16" max="18" width="4.8515625" style="77" customWidth="1"/>
    <col min="19" max="19" width="5.7109375" style="77" customWidth="1"/>
    <col min="20" max="20" width="5.7109375" style="110" customWidth="1"/>
    <col min="21" max="21" width="18.57421875" style="69" customWidth="1"/>
    <col min="22" max="16384" width="9.140625" style="69" customWidth="1"/>
  </cols>
  <sheetData>
    <row r="1" spans="1:21" ht="20.25">
      <c r="A1" s="66" t="s">
        <v>0</v>
      </c>
      <c r="B1" s="66"/>
      <c r="C1" s="67"/>
      <c r="D1" s="68"/>
      <c r="F1" s="68"/>
      <c r="G1" s="68"/>
      <c r="H1" s="68"/>
      <c r="I1" s="68"/>
      <c r="J1" s="68"/>
      <c r="K1" s="69"/>
      <c r="L1" s="69"/>
      <c r="M1" s="70"/>
      <c r="N1" s="69"/>
      <c r="O1" s="69"/>
      <c r="P1" s="69"/>
      <c r="Q1" s="69"/>
      <c r="R1" s="69"/>
      <c r="S1" s="69"/>
      <c r="T1" s="69"/>
      <c r="U1" s="4"/>
    </row>
    <row r="2" spans="1:21" ht="18.75">
      <c r="A2" s="167" t="s">
        <v>1</v>
      </c>
      <c r="B2" s="72"/>
      <c r="C2" s="73"/>
      <c r="D2" s="68"/>
      <c r="F2" s="68"/>
      <c r="G2" s="68"/>
      <c r="H2" s="68"/>
      <c r="I2" s="68"/>
      <c r="J2" s="68"/>
      <c r="K2" s="69"/>
      <c r="L2" s="69"/>
      <c r="M2" s="70"/>
      <c r="N2" s="69"/>
      <c r="O2" s="69"/>
      <c r="P2" s="69"/>
      <c r="Q2" s="69"/>
      <c r="R2" s="69"/>
      <c r="S2" s="69"/>
      <c r="T2" s="69"/>
      <c r="U2" s="18" t="s">
        <v>2</v>
      </c>
    </row>
    <row r="3" spans="4:20" ht="6.75" customHeight="1">
      <c r="D3" s="75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5" s="79" customFormat="1" ht="18.75" customHeight="1">
      <c r="A4" s="76"/>
      <c r="B4" s="76"/>
      <c r="C4" s="77"/>
      <c r="D4" s="78" t="s">
        <v>968</v>
      </c>
      <c r="E4" s="78"/>
      <c r="K4" s="77"/>
      <c r="L4" s="80"/>
      <c r="M4" s="77"/>
      <c r="N4" s="77"/>
      <c r="O4" s="77"/>
      <c r="P4" s="77"/>
      <c r="Q4" s="77"/>
      <c r="R4" s="77"/>
      <c r="S4" s="77"/>
      <c r="T4" s="77"/>
      <c r="U4" s="27" t="s">
        <v>1236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9" customFormat="1" ht="6" customHeight="1" thickBot="1">
      <c r="A5" s="76"/>
      <c r="B5" s="76"/>
      <c r="C5" s="77"/>
      <c r="D5" s="78"/>
      <c r="E5" s="78"/>
      <c r="K5" s="77"/>
      <c r="L5" s="80"/>
      <c r="M5" s="77"/>
      <c r="N5" s="77"/>
      <c r="O5" s="77"/>
      <c r="P5" s="77"/>
      <c r="Q5" s="77"/>
      <c r="R5" s="77"/>
      <c r="S5" s="77"/>
      <c r="T5" s="77"/>
      <c r="U5" s="2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0" s="81" customFormat="1" ht="13.5" thickBot="1">
      <c r="A6" s="74"/>
      <c r="B6" s="74"/>
      <c r="F6" s="79"/>
      <c r="K6" s="82"/>
      <c r="L6" s="316" t="s">
        <v>179</v>
      </c>
      <c r="M6" s="317"/>
      <c r="N6" s="317"/>
      <c r="O6" s="317"/>
      <c r="P6" s="317"/>
      <c r="Q6" s="317"/>
      <c r="R6" s="318"/>
      <c r="S6" s="82"/>
      <c r="T6" s="82"/>
    </row>
    <row r="7" spans="1:21" s="81" customFormat="1" ht="22.5" customHeight="1" thickBot="1">
      <c r="A7" s="166" t="s">
        <v>109</v>
      </c>
      <c r="B7" s="165" t="s">
        <v>17</v>
      </c>
      <c r="C7" s="164" t="s">
        <v>4</v>
      </c>
      <c r="D7" s="163" t="s">
        <v>5</v>
      </c>
      <c r="E7" s="162" t="s">
        <v>6</v>
      </c>
      <c r="F7" s="161" t="s">
        <v>7</v>
      </c>
      <c r="G7" s="154" t="s">
        <v>8</v>
      </c>
      <c r="H7" s="154" t="s">
        <v>9</v>
      </c>
      <c r="I7" s="154" t="s">
        <v>10</v>
      </c>
      <c r="J7" s="160" t="s">
        <v>11</v>
      </c>
      <c r="K7" s="154" t="s">
        <v>12</v>
      </c>
      <c r="L7" s="159">
        <v>1</v>
      </c>
      <c r="M7" s="157">
        <v>2</v>
      </c>
      <c r="N7" s="157">
        <v>3</v>
      </c>
      <c r="O7" s="158" t="s">
        <v>180</v>
      </c>
      <c r="P7" s="157">
        <v>4</v>
      </c>
      <c r="Q7" s="157">
        <v>5</v>
      </c>
      <c r="R7" s="156">
        <v>6</v>
      </c>
      <c r="S7" s="155" t="s">
        <v>181</v>
      </c>
      <c r="T7" s="154" t="s">
        <v>14</v>
      </c>
      <c r="U7" s="154" t="s">
        <v>15</v>
      </c>
    </row>
    <row r="8" spans="1:22" s="108" customFormat="1" ht="19.5" customHeight="1">
      <c r="A8" s="50">
        <v>1</v>
      </c>
      <c r="B8" s="50">
        <v>1</v>
      </c>
      <c r="C8" s="96">
        <v>75</v>
      </c>
      <c r="D8" s="97" t="s">
        <v>967</v>
      </c>
      <c r="E8" s="98" t="s">
        <v>966</v>
      </c>
      <c r="F8" s="99" t="s">
        <v>965</v>
      </c>
      <c r="G8" s="100" t="s">
        <v>83</v>
      </c>
      <c r="H8" s="100" t="s">
        <v>281</v>
      </c>
      <c r="I8" s="101" t="s">
        <v>164</v>
      </c>
      <c r="J8" s="101" t="s">
        <v>287</v>
      </c>
      <c r="K8" s="255">
        <f aca="true" t="shared" si="0" ref="K8:K17">IF(ISBLANK(S8),"",TRUNC(0.004073*(S8+2214.9)^2)-20000)</f>
        <v>1036</v>
      </c>
      <c r="L8" s="253">
        <v>51.89</v>
      </c>
      <c r="M8" s="253">
        <v>55.43</v>
      </c>
      <c r="N8" s="253" t="s">
        <v>190</v>
      </c>
      <c r="O8" s="254">
        <v>8</v>
      </c>
      <c r="P8" s="253">
        <v>57.75</v>
      </c>
      <c r="Q8" s="253" t="s">
        <v>190</v>
      </c>
      <c r="R8" s="253">
        <v>52.47</v>
      </c>
      <c r="S8" s="252">
        <f aca="true" t="shared" si="1" ref="S8:S17">MAX(L8:N8,P8:R8)</f>
        <v>57.75</v>
      </c>
      <c r="T8" s="251" t="str">
        <f aca="true" t="shared" si="2" ref="T8:T17">IF(ISBLANK(S8),"",IF(S8&lt;27,"",IF(S8&gt;=59,"TSM",IF(S8&gt;=54,"SM",IF(S8&gt;=48,"KSM",IF(S8&gt;=41,"I A",IF(S8&gt;=33,"II A",IF(S8&gt;=27,"III A"))))))))</f>
        <v>SM</v>
      </c>
      <c r="U8" s="100" t="s">
        <v>285</v>
      </c>
      <c r="V8" s="107"/>
    </row>
    <row r="9" spans="1:22" s="108" customFormat="1" ht="19.5" customHeight="1">
      <c r="A9" s="50">
        <v>2</v>
      </c>
      <c r="B9" s="50"/>
      <c r="C9" s="96">
        <v>71</v>
      </c>
      <c r="D9" s="97" t="s">
        <v>964</v>
      </c>
      <c r="E9" s="98" t="s">
        <v>963</v>
      </c>
      <c r="F9" s="99" t="s">
        <v>962</v>
      </c>
      <c r="G9" s="100" t="s">
        <v>83</v>
      </c>
      <c r="H9" s="100"/>
      <c r="I9" s="101" t="s">
        <v>164</v>
      </c>
      <c r="J9" s="101"/>
      <c r="K9" s="255">
        <f t="shared" si="0"/>
        <v>964</v>
      </c>
      <c r="L9" s="253">
        <v>53.84</v>
      </c>
      <c r="M9" s="253" t="s">
        <v>190</v>
      </c>
      <c r="N9" s="253" t="s">
        <v>190</v>
      </c>
      <c r="O9" s="254">
        <v>7</v>
      </c>
      <c r="P9" s="253" t="s">
        <v>190</v>
      </c>
      <c r="Q9" s="253" t="s">
        <v>190</v>
      </c>
      <c r="R9" s="253" t="s">
        <v>190</v>
      </c>
      <c r="S9" s="252">
        <f t="shared" si="1"/>
        <v>53.84</v>
      </c>
      <c r="T9" s="251" t="str">
        <f t="shared" si="2"/>
        <v>KSM</v>
      </c>
      <c r="U9" s="100" t="s">
        <v>285</v>
      </c>
      <c r="V9" s="107"/>
    </row>
    <row r="10" spans="1:22" s="108" customFormat="1" ht="19.5" customHeight="1">
      <c r="A10" s="50">
        <v>3</v>
      </c>
      <c r="B10" s="50">
        <v>2</v>
      </c>
      <c r="C10" s="96">
        <v>74</v>
      </c>
      <c r="D10" s="97" t="s">
        <v>961</v>
      </c>
      <c r="E10" s="98" t="s">
        <v>960</v>
      </c>
      <c r="F10" s="99" t="s">
        <v>959</v>
      </c>
      <c r="G10" s="100" t="s">
        <v>83</v>
      </c>
      <c r="H10" s="100" t="s">
        <v>243</v>
      </c>
      <c r="I10" s="101" t="s">
        <v>164</v>
      </c>
      <c r="J10" s="101" t="s">
        <v>287</v>
      </c>
      <c r="K10" s="255">
        <f t="shared" si="0"/>
        <v>901</v>
      </c>
      <c r="L10" s="253">
        <v>49.14</v>
      </c>
      <c r="M10" s="253" t="s">
        <v>190</v>
      </c>
      <c r="N10" s="253">
        <v>50.44</v>
      </c>
      <c r="O10" s="254">
        <v>6</v>
      </c>
      <c r="P10" s="253" t="s">
        <v>190</v>
      </c>
      <c r="Q10" s="253">
        <v>46.79</v>
      </c>
      <c r="R10" s="253" t="s">
        <v>190</v>
      </c>
      <c r="S10" s="252">
        <f t="shared" si="1"/>
        <v>50.44</v>
      </c>
      <c r="T10" s="251" t="str">
        <f t="shared" si="2"/>
        <v>KSM</v>
      </c>
      <c r="U10" s="100" t="s">
        <v>958</v>
      </c>
      <c r="V10" s="107"/>
    </row>
    <row r="11" spans="1:22" s="108" customFormat="1" ht="19.5" customHeight="1">
      <c r="A11" s="50">
        <v>4</v>
      </c>
      <c r="B11" s="50"/>
      <c r="C11" s="96">
        <v>21</v>
      </c>
      <c r="D11" s="97" t="s">
        <v>249</v>
      </c>
      <c r="E11" s="98" t="s">
        <v>957</v>
      </c>
      <c r="F11" s="99" t="s">
        <v>956</v>
      </c>
      <c r="G11" s="100" t="s">
        <v>578</v>
      </c>
      <c r="H11" s="100" t="s">
        <v>955</v>
      </c>
      <c r="I11" s="101" t="s">
        <v>580</v>
      </c>
      <c r="J11" s="101"/>
      <c r="K11" s="255">
        <f t="shared" si="0"/>
        <v>874</v>
      </c>
      <c r="L11" s="253">
        <v>47.04</v>
      </c>
      <c r="M11" s="253">
        <v>48.58</v>
      </c>
      <c r="N11" s="253">
        <v>45.88</v>
      </c>
      <c r="O11" s="254">
        <v>5</v>
      </c>
      <c r="P11" s="253">
        <v>48.73</v>
      </c>
      <c r="Q11" s="253" t="s">
        <v>190</v>
      </c>
      <c r="R11" s="253">
        <v>48.95</v>
      </c>
      <c r="S11" s="252">
        <f t="shared" si="1"/>
        <v>48.95</v>
      </c>
      <c r="T11" s="251" t="str">
        <f t="shared" si="2"/>
        <v>KSM</v>
      </c>
      <c r="U11" s="100" t="s">
        <v>954</v>
      </c>
      <c r="V11" s="107"/>
    </row>
    <row r="12" spans="1:22" s="108" customFormat="1" ht="19.5" customHeight="1">
      <c r="A12" s="50">
        <v>5</v>
      </c>
      <c r="B12" s="50"/>
      <c r="C12" s="96">
        <v>157</v>
      </c>
      <c r="D12" s="97" t="s">
        <v>302</v>
      </c>
      <c r="E12" s="98" t="s">
        <v>953</v>
      </c>
      <c r="F12" s="99" t="s">
        <v>952</v>
      </c>
      <c r="G12" s="100" t="s">
        <v>83</v>
      </c>
      <c r="H12" s="100" t="s">
        <v>243</v>
      </c>
      <c r="I12" s="101" t="s">
        <v>73</v>
      </c>
      <c r="J12" s="101"/>
      <c r="K12" s="255">
        <f t="shared" si="0"/>
        <v>806</v>
      </c>
      <c r="L12" s="253" t="s">
        <v>190</v>
      </c>
      <c r="M12" s="253">
        <v>42.57</v>
      </c>
      <c r="N12" s="253" t="s">
        <v>190</v>
      </c>
      <c r="O12" s="254">
        <v>4</v>
      </c>
      <c r="P12" s="253" t="s">
        <v>190</v>
      </c>
      <c r="Q12" s="253">
        <v>41.36</v>
      </c>
      <c r="R12" s="253">
        <v>45.29</v>
      </c>
      <c r="S12" s="252">
        <f t="shared" si="1"/>
        <v>45.29</v>
      </c>
      <c r="T12" s="251" t="str">
        <f t="shared" si="2"/>
        <v>I A</v>
      </c>
      <c r="U12" s="100" t="s">
        <v>951</v>
      </c>
      <c r="V12" s="107"/>
    </row>
    <row r="13" spans="1:22" s="108" customFormat="1" ht="19.5" customHeight="1">
      <c r="A13" s="50">
        <v>6</v>
      </c>
      <c r="B13" s="50"/>
      <c r="C13" s="96">
        <v>266</v>
      </c>
      <c r="D13" s="97" t="s">
        <v>182</v>
      </c>
      <c r="E13" s="98" t="s">
        <v>183</v>
      </c>
      <c r="F13" s="99" t="s">
        <v>184</v>
      </c>
      <c r="G13" s="100" t="s">
        <v>83</v>
      </c>
      <c r="H13" s="100"/>
      <c r="I13" s="101" t="s">
        <v>185</v>
      </c>
      <c r="J13" s="101"/>
      <c r="K13" s="255">
        <f t="shared" si="0"/>
        <v>803</v>
      </c>
      <c r="L13" s="253" t="s">
        <v>190</v>
      </c>
      <c r="M13" s="253" t="s">
        <v>190</v>
      </c>
      <c r="N13" s="253">
        <v>42.13</v>
      </c>
      <c r="O13" s="254">
        <v>3</v>
      </c>
      <c r="P13" s="253">
        <v>41.53</v>
      </c>
      <c r="Q13" s="253" t="s">
        <v>190</v>
      </c>
      <c r="R13" s="253">
        <v>45.13</v>
      </c>
      <c r="S13" s="252">
        <f t="shared" si="1"/>
        <v>45.13</v>
      </c>
      <c r="T13" s="251" t="str">
        <f t="shared" si="2"/>
        <v>I A</v>
      </c>
      <c r="U13" s="100" t="s">
        <v>186</v>
      </c>
      <c r="V13" s="107"/>
    </row>
    <row r="14" spans="1:22" s="108" customFormat="1" ht="19.5" customHeight="1">
      <c r="A14" s="50">
        <v>7</v>
      </c>
      <c r="B14" s="50">
        <v>3</v>
      </c>
      <c r="C14" s="96">
        <v>170</v>
      </c>
      <c r="D14" s="97" t="s">
        <v>206</v>
      </c>
      <c r="E14" s="98" t="s">
        <v>950</v>
      </c>
      <c r="F14" s="99" t="s">
        <v>949</v>
      </c>
      <c r="G14" s="100" t="s">
        <v>83</v>
      </c>
      <c r="H14" s="100"/>
      <c r="I14" s="101" t="s">
        <v>84</v>
      </c>
      <c r="J14" s="101" t="s">
        <v>102</v>
      </c>
      <c r="K14" s="255">
        <f t="shared" si="0"/>
        <v>690</v>
      </c>
      <c r="L14" s="253">
        <v>38.99</v>
      </c>
      <c r="M14" s="253">
        <v>38.66</v>
      </c>
      <c r="N14" s="253" t="s">
        <v>190</v>
      </c>
      <c r="O14" s="254">
        <v>2</v>
      </c>
      <c r="P14" s="253" t="s">
        <v>190</v>
      </c>
      <c r="Q14" s="253">
        <v>36.75</v>
      </c>
      <c r="R14" s="253">
        <v>34.76</v>
      </c>
      <c r="S14" s="252">
        <f t="shared" si="1"/>
        <v>38.99</v>
      </c>
      <c r="T14" s="251" t="str">
        <f t="shared" si="2"/>
        <v>II A</v>
      </c>
      <c r="U14" s="100" t="s">
        <v>948</v>
      </c>
      <c r="V14" s="107"/>
    </row>
    <row r="15" spans="1:22" s="108" customFormat="1" ht="19.5" customHeight="1">
      <c r="A15" s="50">
        <v>8</v>
      </c>
      <c r="B15" s="50"/>
      <c r="C15" s="96">
        <v>106</v>
      </c>
      <c r="D15" s="97" t="s">
        <v>211</v>
      </c>
      <c r="E15" s="98" t="s">
        <v>212</v>
      </c>
      <c r="F15" s="99" t="s">
        <v>213</v>
      </c>
      <c r="G15" s="100" t="s">
        <v>71</v>
      </c>
      <c r="H15" s="100" t="s">
        <v>72</v>
      </c>
      <c r="I15" s="101"/>
      <c r="J15" s="101"/>
      <c r="K15" s="255">
        <f t="shared" si="0"/>
        <v>690</v>
      </c>
      <c r="L15" s="253">
        <v>31.7</v>
      </c>
      <c r="M15" s="253">
        <v>38.98</v>
      </c>
      <c r="N15" s="253">
        <v>35.98</v>
      </c>
      <c r="O15" s="254">
        <v>1</v>
      </c>
      <c r="P15" s="253">
        <v>34.15</v>
      </c>
      <c r="Q15" s="253" t="s">
        <v>190</v>
      </c>
      <c r="R15" s="253">
        <v>37.34</v>
      </c>
      <c r="S15" s="252">
        <f t="shared" si="1"/>
        <v>38.98</v>
      </c>
      <c r="T15" s="251" t="str">
        <f t="shared" si="2"/>
        <v>II A</v>
      </c>
      <c r="U15" s="100" t="s">
        <v>214</v>
      </c>
      <c r="V15" s="107"/>
    </row>
    <row r="16" spans="1:22" s="108" customFormat="1" ht="19.5" customHeight="1">
      <c r="A16" s="50">
        <v>9</v>
      </c>
      <c r="B16" s="50"/>
      <c r="C16" s="96">
        <v>172</v>
      </c>
      <c r="D16" s="97" t="s">
        <v>387</v>
      </c>
      <c r="E16" s="98" t="s">
        <v>947</v>
      </c>
      <c r="F16" s="99" t="s">
        <v>946</v>
      </c>
      <c r="G16" s="100" t="s">
        <v>83</v>
      </c>
      <c r="H16" s="100" t="s">
        <v>237</v>
      </c>
      <c r="I16" s="101"/>
      <c r="J16" s="101"/>
      <c r="K16" s="255">
        <f t="shared" si="0"/>
        <v>621</v>
      </c>
      <c r="L16" s="253">
        <v>35.08</v>
      </c>
      <c r="M16" s="253">
        <v>34.57</v>
      </c>
      <c r="N16" s="253">
        <v>35.19</v>
      </c>
      <c r="O16" s="254"/>
      <c r="P16" s="253"/>
      <c r="Q16" s="253"/>
      <c r="R16" s="253"/>
      <c r="S16" s="252">
        <f t="shared" si="1"/>
        <v>35.19</v>
      </c>
      <c r="T16" s="251" t="str">
        <f t="shared" si="2"/>
        <v>II A</v>
      </c>
      <c r="U16" s="100" t="s">
        <v>945</v>
      </c>
      <c r="V16" s="107"/>
    </row>
    <row r="17" spans="1:22" s="108" customFormat="1" ht="19.5" customHeight="1">
      <c r="A17" s="50">
        <v>10</v>
      </c>
      <c r="B17" s="50">
        <v>4</v>
      </c>
      <c r="C17" s="96">
        <v>265</v>
      </c>
      <c r="D17" s="97" t="s">
        <v>944</v>
      </c>
      <c r="E17" s="98" t="s">
        <v>943</v>
      </c>
      <c r="F17" s="99" t="s">
        <v>942</v>
      </c>
      <c r="G17" s="100" t="s">
        <v>83</v>
      </c>
      <c r="H17" s="100"/>
      <c r="I17" s="101" t="s">
        <v>185</v>
      </c>
      <c r="J17" s="101" t="s">
        <v>102</v>
      </c>
      <c r="K17" s="255">
        <f t="shared" si="0"/>
        <v>620</v>
      </c>
      <c r="L17" s="253">
        <v>30.93</v>
      </c>
      <c r="M17" s="253">
        <v>35.13</v>
      </c>
      <c r="N17" s="253">
        <v>30.59</v>
      </c>
      <c r="O17" s="254"/>
      <c r="P17" s="253"/>
      <c r="Q17" s="253"/>
      <c r="R17" s="253"/>
      <c r="S17" s="252">
        <f t="shared" si="1"/>
        <v>35.13</v>
      </c>
      <c r="T17" s="251" t="str">
        <f t="shared" si="2"/>
        <v>II A</v>
      </c>
      <c r="U17" s="100" t="s">
        <v>941</v>
      </c>
      <c r="V17" s="107"/>
    </row>
  </sheetData>
  <sheetProtection/>
  <mergeCells count="1">
    <mergeCell ref="L6:R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5"/>
  <sheetViews>
    <sheetView showZeros="0" tabSelected="1" zoomScalePageLayoutView="0" workbookViewId="0" topLeftCell="A1">
      <selection activeCell="U4" sqref="U4"/>
    </sheetView>
  </sheetViews>
  <sheetFormatPr defaultColWidth="9.140625" defaultRowHeight="15"/>
  <cols>
    <col min="1" max="1" width="4.00390625" style="74" customWidth="1"/>
    <col min="2" max="2" width="3.28125" style="74" customWidth="1"/>
    <col min="3" max="3" width="3.8515625" style="69" hidden="1" customWidth="1"/>
    <col min="4" max="4" width="9.00390625" style="69" customWidth="1"/>
    <col min="5" max="5" width="11.140625" style="69" customWidth="1"/>
    <col min="6" max="6" width="8.8515625" style="69" customWidth="1"/>
    <col min="7" max="7" width="11.8515625" style="69" customWidth="1"/>
    <col min="8" max="8" width="6.140625" style="69" customWidth="1"/>
    <col min="9" max="9" width="6.7109375" style="69" customWidth="1"/>
    <col min="10" max="10" width="5.00390625" style="69" customWidth="1"/>
    <col min="11" max="11" width="5.140625" style="110" customWidth="1"/>
    <col min="12" max="14" width="5.00390625" style="77" customWidth="1"/>
    <col min="15" max="15" width="3.140625" style="77" customWidth="1"/>
    <col min="16" max="17" width="4.8515625" style="77" customWidth="1"/>
    <col min="18" max="18" width="5.00390625" style="77" customWidth="1"/>
    <col min="19" max="19" width="5.57421875" style="77" customWidth="1"/>
    <col min="20" max="20" width="4.7109375" style="110" customWidth="1"/>
    <col min="21" max="21" width="18.28125" style="69" customWidth="1"/>
    <col min="22" max="16384" width="9.140625" style="69" customWidth="1"/>
  </cols>
  <sheetData>
    <row r="1" spans="1:21" ht="20.25">
      <c r="A1" s="66" t="s">
        <v>0</v>
      </c>
      <c r="B1" s="66"/>
      <c r="C1" s="67"/>
      <c r="D1" s="68"/>
      <c r="F1" s="68"/>
      <c r="G1" s="68"/>
      <c r="H1" s="68"/>
      <c r="I1" s="68"/>
      <c r="J1" s="68"/>
      <c r="K1" s="69"/>
      <c r="L1" s="69"/>
      <c r="M1" s="70"/>
      <c r="N1" s="69"/>
      <c r="O1" s="69"/>
      <c r="P1" s="69"/>
      <c r="Q1" s="69"/>
      <c r="R1" s="69"/>
      <c r="S1" s="69"/>
      <c r="T1" s="69"/>
      <c r="U1" s="4"/>
    </row>
    <row r="2" spans="1:21" ht="18.75">
      <c r="A2" s="167" t="s">
        <v>1</v>
      </c>
      <c r="B2" s="72"/>
      <c r="C2" s="73"/>
      <c r="D2" s="68"/>
      <c r="F2" s="68"/>
      <c r="G2" s="68"/>
      <c r="H2" s="68"/>
      <c r="I2" s="68"/>
      <c r="J2" s="68"/>
      <c r="K2" s="69"/>
      <c r="L2" s="69"/>
      <c r="M2" s="70"/>
      <c r="N2" s="69"/>
      <c r="O2" s="69"/>
      <c r="P2" s="69"/>
      <c r="Q2" s="69"/>
      <c r="R2" s="69"/>
      <c r="S2" s="69"/>
      <c r="T2" s="69"/>
      <c r="U2" s="18" t="s">
        <v>2</v>
      </c>
    </row>
    <row r="3" spans="4:20" ht="6.75" customHeight="1">
      <c r="D3" s="75"/>
      <c r="F3" s="68"/>
      <c r="G3" s="68"/>
      <c r="H3" s="68"/>
      <c r="I3" s="68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35" s="79" customFormat="1" ht="18.75" customHeight="1">
      <c r="A4" s="76"/>
      <c r="B4" s="76"/>
      <c r="C4" s="77"/>
      <c r="D4" s="78" t="s">
        <v>291</v>
      </c>
      <c r="E4" s="78"/>
      <c r="K4" s="77"/>
      <c r="L4" s="80"/>
      <c r="M4" s="77"/>
      <c r="N4" s="77"/>
      <c r="O4" s="77"/>
      <c r="P4" s="77"/>
      <c r="Q4" s="77"/>
      <c r="R4" s="77"/>
      <c r="S4" s="77"/>
      <c r="T4" s="77"/>
      <c r="U4" s="27" t="s">
        <v>1236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9" customFormat="1" ht="6" customHeight="1" thickBot="1">
      <c r="A5" s="76"/>
      <c r="B5" s="76"/>
      <c r="C5" s="77"/>
      <c r="D5" s="78"/>
      <c r="E5" s="78"/>
      <c r="K5" s="77"/>
      <c r="L5" s="80"/>
      <c r="M5" s="77"/>
      <c r="N5" s="77"/>
      <c r="O5" s="77"/>
      <c r="P5" s="77"/>
      <c r="Q5" s="77"/>
      <c r="R5" s="77"/>
      <c r="S5" s="77"/>
      <c r="T5" s="77"/>
      <c r="U5" s="2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0" s="81" customFormat="1" ht="13.5" thickBot="1">
      <c r="A6" s="74"/>
      <c r="B6" s="74"/>
      <c r="F6" s="79"/>
      <c r="K6" s="82"/>
      <c r="L6" s="316" t="s">
        <v>179</v>
      </c>
      <c r="M6" s="317"/>
      <c r="N6" s="317"/>
      <c r="O6" s="317"/>
      <c r="P6" s="317"/>
      <c r="Q6" s="317"/>
      <c r="R6" s="318"/>
      <c r="S6" s="82"/>
      <c r="T6" s="82"/>
    </row>
    <row r="7" spans="1:21" s="81" customFormat="1" ht="22.5" customHeight="1" thickBot="1">
      <c r="A7" s="166" t="s">
        <v>109</v>
      </c>
      <c r="B7" s="165" t="s">
        <v>17</v>
      </c>
      <c r="C7" s="164" t="s">
        <v>4</v>
      </c>
      <c r="D7" s="163" t="s">
        <v>5</v>
      </c>
      <c r="E7" s="162" t="s">
        <v>6</v>
      </c>
      <c r="F7" s="161" t="s">
        <v>7</v>
      </c>
      <c r="G7" s="154" t="s">
        <v>8</v>
      </c>
      <c r="H7" s="154" t="s">
        <v>9</v>
      </c>
      <c r="I7" s="154" t="s">
        <v>10</v>
      </c>
      <c r="J7" s="160" t="s">
        <v>11</v>
      </c>
      <c r="K7" s="154" t="s">
        <v>12</v>
      </c>
      <c r="L7" s="159">
        <v>1</v>
      </c>
      <c r="M7" s="157">
        <v>2</v>
      </c>
      <c r="N7" s="157">
        <v>3</v>
      </c>
      <c r="O7" s="158" t="s">
        <v>180</v>
      </c>
      <c r="P7" s="157">
        <v>4</v>
      </c>
      <c r="Q7" s="157">
        <v>5</v>
      </c>
      <c r="R7" s="156">
        <v>6</v>
      </c>
      <c r="S7" s="155" t="s">
        <v>181</v>
      </c>
      <c r="T7" s="154" t="s">
        <v>14</v>
      </c>
      <c r="U7" s="154" t="s">
        <v>15</v>
      </c>
    </row>
    <row r="8" spans="1:22" s="108" customFormat="1" ht="19.5" customHeight="1">
      <c r="A8" s="50">
        <v>1</v>
      </c>
      <c r="B8" s="50">
        <v>1</v>
      </c>
      <c r="C8" s="96">
        <v>97</v>
      </c>
      <c r="D8" s="97" t="s">
        <v>290</v>
      </c>
      <c r="E8" s="98" t="s">
        <v>289</v>
      </c>
      <c r="F8" s="99" t="s">
        <v>288</v>
      </c>
      <c r="G8" s="100" t="s">
        <v>83</v>
      </c>
      <c r="H8" s="100"/>
      <c r="I8" s="101" t="s">
        <v>65</v>
      </c>
      <c r="J8" s="101" t="s">
        <v>287</v>
      </c>
      <c r="K8" s="153">
        <f aca="true" t="shared" si="0" ref="K8:K15">IF(ISBLANK(S8),"",TRUNC(0.0023974*(S8+2886.8)^2)-20000)</f>
        <v>959</v>
      </c>
      <c r="L8" s="151" t="s">
        <v>190</v>
      </c>
      <c r="M8" s="151">
        <v>68.59</v>
      </c>
      <c r="N8" s="151" t="s">
        <v>286</v>
      </c>
      <c r="O8" s="152">
        <v>8</v>
      </c>
      <c r="P8" s="151" t="s">
        <v>286</v>
      </c>
      <c r="Q8" s="151" t="s">
        <v>190</v>
      </c>
      <c r="R8" s="151">
        <v>70</v>
      </c>
      <c r="S8" s="150">
        <f aca="true" t="shared" si="1" ref="S8:S15">MAX(L8:N8,P8:R8)</f>
        <v>70</v>
      </c>
      <c r="T8" s="149" t="str">
        <f aca="true" t="shared" si="2" ref="T8:T15">IF(ISBLANK(S8),"",IF(S8&lt;45,"",IF(S8&gt;=78,"TSM",IF(S8&gt;=73,"SM",IF(S8&gt;=67,"KSM",IF(S8&gt;=60,"I A",IF(S8&gt;=52,"II A",IF(S8&gt;=45,"III A"))))))))</f>
        <v>KSM</v>
      </c>
      <c r="U8" s="100" t="s">
        <v>285</v>
      </c>
      <c r="V8" s="107"/>
    </row>
    <row r="9" spans="1:22" s="108" customFormat="1" ht="19.5" customHeight="1">
      <c r="A9" s="50">
        <v>2</v>
      </c>
      <c r="B9" s="50">
        <v>2</v>
      </c>
      <c r="C9" s="96">
        <v>73</v>
      </c>
      <c r="D9" s="97" t="s">
        <v>284</v>
      </c>
      <c r="E9" s="98" t="s">
        <v>283</v>
      </c>
      <c r="F9" s="99" t="s">
        <v>282</v>
      </c>
      <c r="G9" s="100" t="s">
        <v>83</v>
      </c>
      <c r="H9" s="100" t="s">
        <v>281</v>
      </c>
      <c r="I9" s="101" t="s">
        <v>164</v>
      </c>
      <c r="J9" s="101" t="s">
        <v>85</v>
      </c>
      <c r="K9" s="153">
        <f t="shared" si="0"/>
        <v>881</v>
      </c>
      <c r="L9" s="151">
        <v>63.45</v>
      </c>
      <c r="M9" s="151" t="s">
        <v>190</v>
      </c>
      <c r="N9" s="151">
        <v>64.49</v>
      </c>
      <c r="O9" s="152">
        <v>7</v>
      </c>
      <c r="P9" s="151" t="s">
        <v>190</v>
      </c>
      <c r="Q9" s="151" t="s">
        <v>190</v>
      </c>
      <c r="R9" s="151" t="s">
        <v>190</v>
      </c>
      <c r="S9" s="150">
        <f t="shared" si="1"/>
        <v>64.49</v>
      </c>
      <c r="T9" s="149" t="str">
        <f t="shared" si="2"/>
        <v>I A</v>
      </c>
      <c r="U9" s="100" t="s">
        <v>280</v>
      </c>
      <c r="V9" s="107"/>
    </row>
    <row r="10" spans="1:22" s="108" customFormat="1" ht="19.5" customHeight="1">
      <c r="A10" s="50">
        <v>3</v>
      </c>
      <c r="B10" s="50"/>
      <c r="C10" s="96">
        <v>167</v>
      </c>
      <c r="D10" s="97" t="s">
        <v>19</v>
      </c>
      <c r="E10" s="98" t="s">
        <v>279</v>
      </c>
      <c r="F10" s="99" t="s">
        <v>278</v>
      </c>
      <c r="G10" s="100" t="s">
        <v>277</v>
      </c>
      <c r="H10" s="100" t="s">
        <v>276</v>
      </c>
      <c r="I10" s="101" t="s">
        <v>172</v>
      </c>
      <c r="J10" s="101"/>
      <c r="K10" s="153">
        <f t="shared" si="0"/>
        <v>872</v>
      </c>
      <c r="L10" s="151">
        <v>59.66</v>
      </c>
      <c r="M10" s="151">
        <v>57.78</v>
      </c>
      <c r="N10" s="151">
        <v>63.85</v>
      </c>
      <c r="O10" s="152">
        <v>6</v>
      </c>
      <c r="P10" s="151">
        <v>60.39</v>
      </c>
      <c r="Q10" s="151">
        <v>59.46</v>
      </c>
      <c r="R10" s="151" t="s">
        <v>190</v>
      </c>
      <c r="S10" s="150">
        <f t="shared" si="1"/>
        <v>63.85</v>
      </c>
      <c r="T10" s="149" t="str">
        <f t="shared" si="2"/>
        <v>I A</v>
      </c>
      <c r="U10" s="100" t="s">
        <v>275</v>
      </c>
      <c r="V10" s="107"/>
    </row>
    <row r="11" spans="1:22" s="108" customFormat="1" ht="19.5" customHeight="1">
      <c r="A11" s="50">
        <v>4</v>
      </c>
      <c r="B11" s="50"/>
      <c r="C11" s="96">
        <v>176</v>
      </c>
      <c r="D11" s="97" t="s">
        <v>274</v>
      </c>
      <c r="E11" s="98" t="s">
        <v>273</v>
      </c>
      <c r="F11" s="99" t="s">
        <v>272</v>
      </c>
      <c r="G11" s="100" t="s">
        <v>83</v>
      </c>
      <c r="H11" s="100"/>
      <c r="I11" s="101" t="s">
        <v>84</v>
      </c>
      <c r="J11" s="101"/>
      <c r="K11" s="153">
        <f t="shared" si="0"/>
        <v>791</v>
      </c>
      <c r="L11" s="151" t="s">
        <v>190</v>
      </c>
      <c r="M11" s="151">
        <v>58.1</v>
      </c>
      <c r="N11" s="151">
        <v>56.35</v>
      </c>
      <c r="O11" s="152">
        <v>5</v>
      </c>
      <c r="P11" s="151">
        <v>57.61</v>
      </c>
      <c r="Q11" s="151" t="s">
        <v>190</v>
      </c>
      <c r="R11" s="151" t="s">
        <v>190</v>
      </c>
      <c r="S11" s="150">
        <f t="shared" si="1"/>
        <v>58.1</v>
      </c>
      <c r="T11" s="149" t="str">
        <f t="shared" si="2"/>
        <v>II A</v>
      </c>
      <c r="U11" s="100" t="s">
        <v>271</v>
      </c>
      <c r="V11" s="107"/>
    </row>
    <row r="12" spans="1:22" s="108" customFormat="1" ht="19.5" customHeight="1">
      <c r="A12" s="50">
        <v>5</v>
      </c>
      <c r="B12" s="50"/>
      <c r="C12" s="96">
        <v>164</v>
      </c>
      <c r="D12" s="97" t="s">
        <v>270</v>
      </c>
      <c r="E12" s="98" t="s">
        <v>269</v>
      </c>
      <c r="F12" s="99" t="s">
        <v>268</v>
      </c>
      <c r="G12" s="100" t="s">
        <v>71</v>
      </c>
      <c r="H12" s="100" t="s">
        <v>72</v>
      </c>
      <c r="I12" s="101"/>
      <c r="J12" s="101"/>
      <c r="K12" s="153">
        <f t="shared" si="0"/>
        <v>734</v>
      </c>
      <c r="L12" s="151">
        <v>54.11</v>
      </c>
      <c r="M12" s="151" t="s">
        <v>190</v>
      </c>
      <c r="N12" s="151" t="s">
        <v>190</v>
      </c>
      <c r="O12" s="152">
        <v>4</v>
      </c>
      <c r="P12" s="151" t="s">
        <v>190</v>
      </c>
      <c r="Q12" s="151" t="s">
        <v>190</v>
      </c>
      <c r="R12" s="151" t="s">
        <v>190</v>
      </c>
      <c r="S12" s="150">
        <f t="shared" si="1"/>
        <v>54.11</v>
      </c>
      <c r="T12" s="149" t="str">
        <f t="shared" si="2"/>
        <v>II A</v>
      </c>
      <c r="U12" s="100" t="s">
        <v>267</v>
      </c>
      <c r="V12" s="107"/>
    </row>
    <row r="13" spans="1:22" s="108" customFormat="1" ht="19.5" customHeight="1">
      <c r="A13" s="50">
        <v>6</v>
      </c>
      <c r="B13" s="50"/>
      <c r="C13" s="96">
        <v>172</v>
      </c>
      <c r="D13" s="97" t="s">
        <v>266</v>
      </c>
      <c r="E13" s="98" t="s">
        <v>265</v>
      </c>
      <c r="F13" s="99" t="s">
        <v>264</v>
      </c>
      <c r="G13" s="100" t="s">
        <v>83</v>
      </c>
      <c r="H13" s="100" t="s">
        <v>243</v>
      </c>
      <c r="I13" s="101" t="s">
        <v>84</v>
      </c>
      <c r="J13" s="101"/>
      <c r="K13" s="153">
        <f t="shared" si="0"/>
        <v>707</v>
      </c>
      <c r="L13" s="151" t="s">
        <v>190</v>
      </c>
      <c r="M13" s="151">
        <v>49.49</v>
      </c>
      <c r="N13" s="151">
        <v>49.09</v>
      </c>
      <c r="O13" s="152">
        <v>3</v>
      </c>
      <c r="P13" s="151">
        <v>51.67</v>
      </c>
      <c r="Q13" s="151" t="s">
        <v>190</v>
      </c>
      <c r="R13" s="151">
        <v>52.13</v>
      </c>
      <c r="S13" s="150">
        <f t="shared" si="1"/>
        <v>52.13</v>
      </c>
      <c r="T13" s="149" t="str">
        <f t="shared" si="2"/>
        <v>II A</v>
      </c>
      <c r="U13" s="100" t="s">
        <v>219</v>
      </c>
      <c r="V13" s="107"/>
    </row>
    <row r="14" spans="1:22" s="108" customFormat="1" ht="19.5" customHeight="1">
      <c r="A14" s="50">
        <v>7</v>
      </c>
      <c r="B14" s="50"/>
      <c r="C14" s="96">
        <v>180</v>
      </c>
      <c r="D14" s="97" t="s">
        <v>263</v>
      </c>
      <c r="E14" s="98" t="s">
        <v>262</v>
      </c>
      <c r="F14" s="99" t="s">
        <v>261</v>
      </c>
      <c r="G14" s="100" t="s">
        <v>260</v>
      </c>
      <c r="H14" s="100" t="s">
        <v>259</v>
      </c>
      <c r="I14" s="101"/>
      <c r="J14" s="101"/>
      <c r="K14" s="153">
        <f t="shared" si="0"/>
        <v>635</v>
      </c>
      <c r="L14" s="151">
        <v>46.17</v>
      </c>
      <c r="M14" s="151">
        <v>46.88</v>
      </c>
      <c r="N14" s="151" t="s">
        <v>190</v>
      </c>
      <c r="O14" s="152">
        <v>2</v>
      </c>
      <c r="P14" s="151">
        <v>44.56</v>
      </c>
      <c r="Q14" s="151">
        <v>47.03</v>
      </c>
      <c r="R14" s="151">
        <v>42.11</v>
      </c>
      <c r="S14" s="150">
        <f t="shared" si="1"/>
        <v>47.03</v>
      </c>
      <c r="T14" s="149" t="str">
        <f t="shared" si="2"/>
        <v>III A</v>
      </c>
      <c r="U14" s="100" t="s">
        <v>258</v>
      </c>
      <c r="V14" s="107"/>
    </row>
    <row r="15" spans="1:22" s="108" customFormat="1" ht="19.5" customHeight="1">
      <c r="A15" s="50">
        <v>8</v>
      </c>
      <c r="B15" s="50">
        <v>3</v>
      </c>
      <c r="C15" s="96">
        <v>151</v>
      </c>
      <c r="D15" s="97" t="s">
        <v>257</v>
      </c>
      <c r="E15" s="98" t="s">
        <v>256</v>
      </c>
      <c r="F15" s="99" t="s">
        <v>255</v>
      </c>
      <c r="G15" s="100" t="s">
        <v>83</v>
      </c>
      <c r="H15" s="100"/>
      <c r="I15" s="101"/>
      <c r="J15" s="101" t="s">
        <v>85</v>
      </c>
      <c r="K15" s="153">
        <f t="shared" si="0"/>
        <v>526</v>
      </c>
      <c r="L15" s="151">
        <v>37.79</v>
      </c>
      <c r="M15" s="151">
        <v>35.28</v>
      </c>
      <c r="N15" s="151">
        <v>38.2</v>
      </c>
      <c r="O15" s="152">
        <v>1</v>
      </c>
      <c r="P15" s="151">
        <v>38.39</v>
      </c>
      <c r="Q15" s="151" t="s">
        <v>190</v>
      </c>
      <c r="R15" s="151">
        <v>39.32</v>
      </c>
      <c r="S15" s="150">
        <f t="shared" si="1"/>
        <v>39.32</v>
      </c>
      <c r="T15" s="149">
        <f t="shared" si="2"/>
      </c>
      <c r="U15" s="100" t="s">
        <v>254</v>
      </c>
      <c r="V15" s="107"/>
    </row>
  </sheetData>
  <sheetProtection/>
  <mergeCells count="1">
    <mergeCell ref="L6:R6"/>
  </mergeCells>
  <printOptions horizontalCentered="1"/>
  <pageMargins left="0.3937007874015748" right="0.3937007874015748" top="0.5511811023622047" bottom="0.03937007874015748" header="0.2362204724409449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X69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3.00390625" style="28" hidden="1" customWidth="1"/>
    <col min="3" max="3" width="4.28125" style="28" customWidth="1"/>
    <col min="4" max="4" width="11.140625" style="23" customWidth="1"/>
    <col min="5" max="5" width="13.28125" style="24" customWidth="1"/>
    <col min="6" max="6" width="9.00390625" style="25" customWidth="1"/>
    <col min="7" max="7" width="10.140625" style="24" customWidth="1"/>
    <col min="8" max="8" width="6.57421875" style="24" customWidth="1"/>
    <col min="9" max="9" width="11.8515625" style="24" customWidth="1"/>
    <col min="10" max="10" width="5.140625" style="24" bestFit="1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hidden="1" customWidth="1"/>
    <col min="16" max="16" width="4.00390625" style="26" hidden="1" customWidth="1"/>
    <col min="17" max="17" width="4.7109375" style="26" hidden="1" customWidth="1"/>
    <col min="18" max="18" width="4.421875" style="6" customWidth="1"/>
    <col min="19" max="19" width="26.140625" style="24" customWidth="1"/>
    <col min="20" max="20" width="6.8515625" style="174" hidden="1" customWidth="1"/>
    <col min="21" max="21" width="4.140625" style="10" hidden="1" customWidth="1"/>
    <col min="22" max="23" width="2.28125" style="24" hidden="1" customWidth="1"/>
    <col min="24" max="24" width="3.28125" style="24" hidden="1" customWidth="1"/>
    <col min="25" max="16384" width="9.140625" style="24" customWidth="1"/>
  </cols>
  <sheetData>
    <row r="1" spans="1:21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174"/>
      <c r="U1" s="10"/>
    </row>
    <row r="2" spans="1:21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175"/>
      <c r="U2" s="21"/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631</v>
      </c>
      <c r="F4" s="30"/>
      <c r="S4" s="31"/>
    </row>
    <row r="5" ht="3.75" customHeight="1"/>
    <row r="6" spans="3:8" ht="13.5" thickBot="1">
      <c r="C6" s="33"/>
      <c r="D6" s="34"/>
      <c r="E6" s="35">
        <v>1</v>
      </c>
      <c r="F6" s="36" t="s">
        <v>332</v>
      </c>
      <c r="G6" s="37">
        <v>6</v>
      </c>
      <c r="H6" s="38"/>
    </row>
    <row r="7" spans="1:21" s="185" customFormat="1" ht="13.5" thickBot="1">
      <c r="A7" s="177" t="s">
        <v>109</v>
      </c>
      <c r="B7" s="43" t="s">
        <v>17</v>
      </c>
      <c r="C7" s="178" t="s">
        <v>4</v>
      </c>
      <c r="D7" s="179" t="s">
        <v>5</v>
      </c>
      <c r="E7" s="180" t="s">
        <v>6</v>
      </c>
      <c r="F7" s="181" t="s">
        <v>7</v>
      </c>
      <c r="G7" s="160" t="s">
        <v>8</v>
      </c>
      <c r="H7" s="160" t="s">
        <v>9</v>
      </c>
      <c r="I7" s="160" t="s">
        <v>10</v>
      </c>
      <c r="J7" s="160" t="s">
        <v>11</v>
      </c>
      <c r="K7" s="181" t="s">
        <v>12</v>
      </c>
      <c r="L7" s="182" t="s">
        <v>632</v>
      </c>
      <c r="M7" s="160" t="s">
        <v>293</v>
      </c>
      <c r="N7" s="160" t="s">
        <v>294</v>
      </c>
      <c r="O7" s="160" t="s">
        <v>111</v>
      </c>
      <c r="P7" s="160" t="s">
        <v>293</v>
      </c>
      <c r="Q7" s="160" t="s">
        <v>294</v>
      </c>
      <c r="R7" s="183" t="s">
        <v>14</v>
      </c>
      <c r="S7" s="184" t="s">
        <v>15</v>
      </c>
      <c r="T7" s="175" t="s">
        <v>633</v>
      </c>
      <c r="U7" s="21">
        <v>2016</v>
      </c>
    </row>
    <row r="8" spans="1:23" ht="15">
      <c r="A8" s="50">
        <v>1</v>
      </c>
      <c r="B8" s="51"/>
      <c r="C8" s="51">
        <v>198</v>
      </c>
      <c r="D8" s="52" t="s">
        <v>634</v>
      </c>
      <c r="E8" s="53" t="s">
        <v>635</v>
      </c>
      <c r="F8" s="208" t="s">
        <v>636</v>
      </c>
      <c r="G8" s="55" t="s">
        <v>22</v>
      </c>
      <c r="H8" s="55"/>
      <c r="I8" s="55"/>
      <c r="J8" s="55" t="s">
        <v>107</v>
      </c>
      <c r="K8" s="186">
        <f aca="true" t="shared" si="0" ref="K8:K15">IF(ISBLANK(L8),"",TRUNC(24.63*(L8-17)^2))</f>
        <v>625</v>
      </c>
      <c r="L8" s="209">
        <v>11.96</v>
      </c>
      <c r="M8" s="210">
        <v>1.5</v>
      </c>
      <c r="N8" s="188">
        <v>0.209</v>
      </c>
      <c r="O8" s="211"/>
      <c r="P8" s="210"/>
      <c r="Q8" s="188"/>
      <c r="R8" s="189" t="str">
        <f aca="true" t="shared" si="1" ref="R8:R15">IF(ISBLANK(L8),"",IF(L8&gt;12.64,"",IF(L8&lt;=10.28,"TSM",IF(L8&lt;=10.58,"SM",IF(L8&lt;=10.9,"KSM",IF(L8&lt;=11.34,"I A",IF(L8&lt;=11.94,"II A",IF(L8&lt;=12.64,"III A"))))))))</f>
        <v>III A</v>
      </c>
      <c r="S8" s="55" t="s">
        <v>108</v>
      </c>
      <c r="T8" s="212" t="s">
        <v>466</v>
      </c>
      <c r="U8" s="213"/>
      <c r="V8" s="6" t="s">
        <v>637</v>
      </c>
      <c r="W8" s="6" t="s">
        <v>637</v>
      </c>
    </row>
    <row r="9" spans="1:23" ht="15">
      <c r="A9" s="50">
        <v>2</v>
      </c>
      <c r="B9" s="51"/>
      <c r="C9" s="51" t="s">
        <v>638</v>
      </c>
      <c r="D9" s="52" t="s">
        <v>639</v>
      </c>
      <c r="E9" s="53" t="s">
        <v>640</v>
      </c>
      <c r="F9" s="208" t="s">
        <v>641</v>
      </c>
      <c r="G9" s="55" t="s">
        <v>83</v>
      </c>
      <c r="H9" s="55" t="s">
        <v>642</v>
      </c>
      <c r="I9" s="55" t="s">
        <v>185</v>
      </c>
      <c r="J9" s="55" t="s">
        <v>287</v>
      </c>
      <c r="K9" s="186">
        <f t="shared" si="0"/>
        <v>820</v>
      </c>
      <c r="L9" s="209">
        <v>11.23</v>
      </c>
      <c r="M9" s="210">
        <v>1.5</v>
      </c>
      <c r="N9" s="188">
        <v>0.179</v>
      </c>
      <c r="O9" s="211"/>
      <c r="P9" s="210"/>
      <c r="Q9" s="188"/>
      <c r="R9" s="189" t="str">
        <f t="shared" si="1"/>
        <v>I A</v>
      </c>
      <c r="S9" s="55" t="s">
        <v>643</v>
      </c>
      <c r="T9" s="212" t="s">
        <v>466</v>
      </c>
      <c r="U9" s="213"/>
      <c r="V9" s="6" t="s">
        <v>637</v>
      </c>
      <c r="W9" s="6" t="s">
        <v>644</v>
      </c>
    </row>
    <row r="10" spans="1:23" ht="15">
      <c r="A10" s="50">
        <v>3</v>
      </c>
      <c r="B10" s="51"/>
      <c r="C10" s="51" t="s">
        <v>645</v>
      </c>
      <c r="D10" s="52" t="s">
        <v>646</v>
      </c>
      <c r="E10" s="53" t="s">
        <v>647</v>
      </c>
      <c r="F10" s="208" t="s">
        <v>648</v>
      </c>
      <c r="G10" s="55" t="s">
        <v>22</v>
      </c>
      <c r="H10" s="55"/>
      <c r="I10" s="55" t="s">
        <v>45</v>
      </c>
      <c r="J10" s="55" t="s">
        <v>107</v>
      </c>
      <c r="K10" s="186">
        <f t="shared" si="0"/>
        <v>811</v>
      </c>
      <c r="L10" s="209">
        <v>11.26</v>
      </c>
      <c r="M10" s="210">
        <v>1.5</v>
      </c>
      <c r="N10" s="188">
        <v>0.161</v>
      </c>
      <c r="O10" s="211"/>
      <c r="P10" s="210"/>
      <c r="Q10" s="188"/>
      <c r="R10" s="189" t="str">
        <f t="shared" si="1"/>
        <v>I A</v>
      </c>
      <c r="S10" s="55" t="s">
        <v>402</v>
      </c>
      <c r="T10" s="212" t="s">
        <v>649</v>
      </c>
      <c r="U10" s="213"/>
      <c r="V10" s="6" t="s">
        <v>637</v>
      </c>
      <c r="W10" s="6" t="s">
        <v>650</v>
      </c>
    </row>
    <row r="11" spans="1:23" ht="15">
      <c r="A11" s="50">
        <v>4</v>
      </c>
      <c r="B11" s="51"/>
      <c r="C11" s="51">
        <v>263</v>
      </c>
      <c r="D11" s="52" t="s">
        <v>651</v>
      </c>
      <c r="E11" s="53" t="s">
        <v>652</v>
      </c>
      <c r="F11" s="208" t="s">
        <v>653</v>
      </c>
      <c r="G11" s="55" t="s">
        <v>277</v>
      </c>
      <c r="H11" s="55" t="s">
        <v>276</v>
      </c>
      <c r="I11" s="55"/>
      <c r="J11" s="55"/>
      <c r="K11" s="186">
        <f t="shared" si="0"/>
        <v>512</v>
      </c>
      <c r="L11" s="209">
        <v>12.44</v>
      </c>
      <c r="M11" s="210">
        <v>1.5</v>
      </c>
      <c r="N11" s="188" t="s">
        <v>300</v>
      </c>
      <c r="O11" s="211"/>
      <c r="P11" s="210"/>
      <c r="Q11" s="188"/>
      <c r="R11" s="189" t="str">
        <f t="shared" si="1"/>
        <v>III A</v>
      </c>
      <c r="S11" s="55" t="s">
        <v>574</v>
      </c>
      <c r="T11" s="212" t="s">
        <v>654</v>
      </c>
      <c r="U11" s="213"/>
      <c r="V11" s="6" t="s">
        <v>637</v>
      </c>
      <c r="W11" s="6" t="s">
        <v>655</v>
      </c>
    </row>
    <row r="12" spans="1:23" ht="15">
      <c r="A12" s="50">
        <v>5</v>
      </c>
      <c r="B12" s="51"/>
      <c r="C12" s="51" t="s">
        <v>656</v>
      </c>
      <c r="D12" s="52" t="s">
        <v>651</v>
      </c>
      <c r="E12" s="53" t="s">
        <v>657</v>
      </c>
      <c r="F12" s="208" t="s">
        <v>658</v>
      </c>
      <c r="G12" s="55" t="s">
        <v>71</v>
      </c>
      <c r="H12" s="55" t="s">
        <v>72</v>
      </c>
      <c r="I12" s="55" t="s">
        <v>73</v>
      </c>
      <c r="J12" s="55" t="s">
        <v>107</v>
      </c>
      <c r="K12" s="186">
        <f t="shared" si="0"/>
        <v>845</v>
      </c>
      <c r="L12" s="209">
        <v>11.14</v>
      </c>
      <c r="M12" s="210">
        <v>1.5</v>
      </c>
      <c r="N12" s="188">
        <v>0.15</v>
      </c>
      <c r="O12" s="211"/>
      <c r="P12" s="210"/>
      <c r="Q12" s="188"/>
      <c r="R12" s="189" t="str">
        <f t="shared" si="1"/>
        <v>I A</v>
      </c>
      <c r="S12" s="55" t="s">
        <v>604</v>
      </c>
      <c r="T12" s="214" t="s">
        <v>659</v>
      </c>
      <c r="U12" s="213"/>
      <c r="V12" s="6" t="s">
        <v>637</v>
      </c>
      <c r="W12" s="6" t="s">
        <v>660</v>
      </c>
    </row>
    <row r="13" spans="1:23" ht="15">
      <c r="A13" s="50">
        <v>6</v>
      </c>
      <c r="B13" s="51"/>
      <c r="C13" s="51" t="s">
        <v>661</v>
      </c>
      <c r="D13" s="52" t="s">
        <v>524</v>
      </c>
      <c r="E13" s="53" t="s">
        <v>662</v>
      </c>
      <c r="F13" s="208" t="s">
        <v>663</v>
      </c>
      <c r="G13" s="55" t="s">
        <v>83</v>
      </c>
      <c r="H13" s="55" t="s">
        <v>237</v>
      </c>
      <c r="I13" s="55" t="s">
        <v>73</v>
      </c>
      <c r="J13" s="55" t="s">
        <v>287</v>
      </c>
      <c r="K13" s="186">
        <f t="shared" si="0"/>
        <v>860</v>
      </c>
      <c r="L13" s="209">
        <v>11.09</v>
      </c>
      <c r="M13" s="210">
        <v>1.5</v>
      </c>
      <c r="N13" s="188">
        <v>0.17</v>
      </c>
      <c r="O13" s="211"/>
      <c r="P13" s="210"/>
      <c r="Q13" s="188"/>
      <c r="R13" s="189" t="str">
        <f t="shared" si="1"/>
        <v>I A</v>
      </c>
      <c r="S13" s="55" t="s">
        <v>664</v>
      </c>
      <c r="T13" s="214" t="s">
        <v>665</v>
      </c>
      <c r="U13" s="213"/>
      <c r="V13" s="6" t="s">
        <v>637</v>
      </c>
      <c r="W13" s="6" t="s">
        <v>666</v>
      </c>
    </row>
    <row r="14" spans="1:23" ht="15">
      <c r="A14" s="50">
        <v>7</v>
      </c>
      <c r="B14" s="51"/>
      <c r="C14" s="51" t="s">
        <v>667</v>
      </c>
      <c r="D14" s="52" t="s">
        <v>257</v>
      </c>
      <c r="E14" s="53" t="s">
        <v>668</v>
      </c>
      <c r="F14" s="208" t="s">
        <v>669</v>
      </c>
      <c r="G14" s="55" t="s">
        <v>22</v>
      </c>
      <c r="H14" s="55" t="s">
        <v>72</v>
      </c>
      <c r="I14" s="55" t="s">
        <v>356</v>
      </c>
      <c r="J14" s="55"/>
      <c r="K14" s="186">
        <f t="shared" si="0"/>
        <v>673</v>
      </c>
      <c r="L14" s="209">
        <v>11.77</v>
      </c>
      <c r="M14" s="210">
        <v>1.5</v>
      </c>
      <c r="N14" s="188">
        <v>0.171</v>
      </c>
      <c r="O14" s="211"/>
      <c r="P14" s="210"/>
      <c r="Q14" s="188"/>
      <c r="R14" s="189" t="str">
        <f t="shared" si="1"/>
        <v>II A</v>
      </c>
      <c r="S14" s="55" t="s">
        <v>604</v>
      </c>
      <c r="T14" s="212" t="s">
        <v>670</v>
      </c>
      <c r="U14" s="213"/>
      <c r="V14" s="6" t="s">
        <v>637</v>
      </c>
      <c r="W14" s="6" t="s">
        <v>671</v>
      </c>
    </row>
    <row r="15" spans="1:23" ht="15">
      <c r="A15" s="50">
        <v>8</v>
      </c>
      <c r="B15" s="51"/>
      <c r="C15" s="51" t="s">
        <v>672</v>
      </c>
      <c r="D15" s="52" t="s">
        <v>673</v>
      </c>
      <c r="E15" s="53" t="s">
        <v>674</v>
      </c>
      <c r="F15" s="208" t="s">
        <v>675</v>
      </c>
      <c r="G15" s="55" t="s">
        <v>83</v>
      </c>
      <c r="H15" s="55" t="s">
        <v>676</v>
      </c>
      <c r="I15" s="55"/>
      <c r="J15" s="55"/>
      <c r="K15" s="186">
        <f t="shared" si="0"/>
        <v>586</v>
      </c>
      <c r="L15" s="209">
        <v>12.12</v>
      </c>
      <c r="M15" s="210">
        <v>1.5</v>
      </c>
      <c r="N15" s="188">
        <v>0.153</v>
      </c>
      <c r="O15" s="211"/>
      <c r="P15" s="210"/>
      <c r="Q15" s="188"/>
      <c r="R15" s="189" t="str">
        <f t="shared" si="1"/>
        <v>III A</v>
      </c>
      <c r="S15" s="55" t="s">
        <v>677</v>
      </c>
      <c r="T15" s="212" t="s">
        <v>670</v>
      </c>
      <c r="U15" s="213"/>
      <c r="V15" s="6" t="s">
        <v>637</v>
      </c>
      <c r="W15" s="6" t="s">
        <v>678</v>
      </c>
    </row>
    <row r="16" ht="3.75" customHeight="1"/>
    <row r="17" spans="3:8" ht="13.5" thickBot="1">
      <c r="C17" s="33"/>
      <c r="D17" s="34"/>
      <c r="E17" s="35">
        <v>2</v>
      </c>
      <c r="F17" s="36" t="s">
        <v>332</v>
      </c>
      <c r="G17" s="37">
        <v>6</v>
      </c>
      <c r="H17" s="38"/>
    </row>
    <row r="18" spans="1:21" s="185" customFormat="1" ht="13.5" thickBot="1">
      <c r="A18" s="177" t="s">
        <v>109</v>
      </c>
      <c r="B18" s="43" t="s">
        <v>17</v>
      </c>
      <c r="C18" s="178" t="s">
        <v>4</v>
      </c>
      <c r="D18" s="179" t="s">
        <v>5</v>
      </c>
      <c r="E18" s="180" t="s">
        <v>6</v>
      </c>
      <c r="F18" s="181" t="s">
        <v>7</v>
      </c>
      <c r="G18" s="160" t="s">
        <v>8</v>
      </c>
      <c r="H18" s="160" t="s">
        <v>9</v>
      </c>
      <c r="I18" s="160" t="s">
        <v>10</v>
      </c>
      <c r="J18" s="160" t="s">
        <v>11</v>
      </c>
      <c r="K18" s="181" t="s">
        <v>12</v>
      </c>
      <c r="L18" s="182" t="s">
        <v>632</v>
      </c>
      <c r="M18" s="160" t="s">
        <v>293</v>
      </c>
      <c r="N18" s="160" t="s">
        <v>294</v>
      </c>
      <c r="O18" s="160" t="s">
        <v>111</v>
      </c>
      <c r="P18" s="160" t="s">
        <v>293</v>
      </c>
      <c r="Q18" s="160" t="s">
        <v>294</v>
      </c>
      <c r="R18" s="183" t="s">
        <v>14</v>
      </c>
      <c r="S18" s="184" t="s">
        <v>15</v>
      </c>
      <c r="T18" s="175" t="s">
        <v>633</v>
      </c>
      <c r="U18" s="21">
        <v>2016</v>
      </c>
    </row>
    <row r="19" spans="1:23" ht="15">
      <c r="A19" s="50">
        <v>1</v>
      </c>
      <c r="B19" s="51"/>
      <c r="C19" s="51" t="s">
        <v>679</v>
      </c>
      <c r="D19" s="52" t="s">
        <v>504</v>
      </c>
      <c r="E19" s="53" t="s">
        <v>680</v>
      </c>
      <c r="F19" s="208" t="s">
        <v>681</v>
      </c>
      <c r="G19" s="55" t="s">
        <v>71</v>
      </c>
      <c r="H19" s="55"/>
      <c r="I19" s="55" t="s">
        <v>65</v>
      </c>
      <c r="J19" s="55"/>
      <c r="K19" s="186">
        <f aca="true" t="shared" si="2" ref="K19:K24">IF(ISBLANK(L19),"",TRUNC(24.63*(L19-17)^2))</f>
        <v>922</v>
      </c>
      <c r="L19" s="209">
        <v>10.88</v>
      </c>
      <c r="M19" s="210">
        <v>-1</v>
      </c>
      <c r="N19" s="188">
        <v>0.179</v>
      </c>
      <c r="O19" s="211"/>
      <c r="P19" s="210"/>
      <c r="Q19" s="188"/>
      <c r="R19" s="189" t="str">
        <f aca="true" t="shared" si="3" ref="R19:R25">IF(ISBLANK(L19),"",IF(L19&gt;12.64,"",IF(L19&lt;=10.28,"TSM",IF(L19&lt;=10.58,"SM",IF(L19&lt;=10.9,"KSM",IF(L19&lt;=11.34,"I A",IF(L19&lt;=11.94,"II A",IF(L19&lt;=12.64,"III A"))))))))</f>
        <v>KSM</v>
      </c>
      <c r="S19" s="55" t="s">
        <v>682</v>
      </c>
      <c r="T19" s="215" t="s">
        <v>683</v>
      </c>
      <c r="U19" s="213"/>
      <c r="V19" s="6" t="s">
        <v>644</v>
      </c>
      <c r="W19" s="6" t="s">
        <v>660</v>
      </c>
    </row>
    <row r="20" spans="1:23" ht="15">
      <c r="A20" s="50">
        <v>2</v>
      </c>
      <c r="B20" s="51"/>
      <c r="C20" s="51">
        <v>185</v>
      </c>
      <c r="D20" s="52" t="s">
        <v>592</v>
      </c>
      <c r="E20" s="53" t="s">
        <v>684</v>
      </c>
      <c r="F20" s="54" t="s">
        <v>685</v>
      </c>
      <c r="G20" s="55" t="s">
        <v>43</v>
      </c>
      <c r="H20" s="55" t="s">
        <v>148</v>
      </c>
      <c r="I20" s="55" t="s">
        <v>320</v>
      </c>
      <c r="J20" s="55"/>
      <c r="K20" s="186">
        <f t="shared" si="2"/>
        <v>863</v>
      </c>
      <c r="L20" s="209">
        <v>11.08</v>
      </c>
      <c r="M20" s="210">
        <v>-1</v>
      </c>
      <c r="N20" s="188">
        <v>0.156</v>
      </c>
      <c r="O20" s="211"/>
      <c r="P20" s="210"/>
      <c r="Q20" s="188"/>
      <c r="R20" s="189" t="str">
        <f t="shared" si="3"/>
        <v>I A</v>
      </c>
      <c r="S20" s="55" t="s">
        <v>321</v>
      </c>
      <c r="T20" s="212"/>
      <c r="U20" s="213"/>
      <c r="V20" s="6"/>
      <c r="W20" s="6" t="s">
        <v>650</v>
      </c>
    </row>
    <row r="21" spans="1:23" ht="15">
      <c r="A21" s="50">
        <v>3</v>
      </c>
      <c r="B21" s="51"/>
      <c r="C21" s="51">
        <v>184</v>
      </c>
      <c r="D21" s="52" t="s">
        <v>92</v>
      </c>
      <c r="E21" s="53" t="s">
        <v>686</v>
      </c>
      <c r="F21" s="208" t="s">
        <v>687</v>
      </c>
      <c r="G21" s="55" t="s">
        <v>43</v>
      </c>
      <c r="H21" s="55" t="s">
        <v>148</v>
      </c>
      <c r="I21" s="55" t="s">
        <v>688</v>
      </c>
      <c r="J21" s="55"/>
      <c r="K21" s="186">
        <f t="shared" si="2"/>
        <v>786</v>
      </c>
      <c r="L21" s="209">
        <v>11.35</v>
      </c>
      <c r="M21" s="210">
        <v>-1</v>
      </c>
      <c r="N21" s="188" t="s">
        <v>300</v>
      </c>
      <c r="O21" s="211"/>
      <c r="P21" s="210"/>
      <c r="Q21" s="188"/>
      <c r="R21" s="189" t="str">
        <f t="shared" si="3"/>
        <v>II A</v>
      </c>
      <c r="S21" s="55" t="s">
        <v>689</v>
      </c>
      <c r="T21" s="212" t="s">
        <v>690</v>
      </c>
      <c r="U21" s="213"/>
      <c r="V21" s="6" t="s">
        <v>644</v>
      </c>
      <c r="W21" s="6" t="s">
        <v>655</v>
      </c>
    </row>
    <row r="22" spans="1:23" ht="15">
      <c r="A22" s="50">
        <v>4</v>
      </c>
      <c r="B22" s="51"/>
      <c r="C22" s="51" t="s">
        <v>691</v>
      </c>
      <c r="D22" s="52" t="s">
        <v>692</v>
      </c>
      <c r="E22" s="53" t="s">
        <v>693</v>
      </c>
      <c r="F22" s="208" t="s">
        <v>694</v>
      </c>
      <c r="G22" s="55" t="s">
        <v>695</v>
      </c>
      <c r="H22" s="55"/>
      <c r="I22" s="55" t="s">
        <v>45</v>
      </c>
      <c r="J22" s="55"/>
      <c r="K22" s="186">
        <f t="shared" si="2"/>
        <v>758</v>
      </c>
      <c r="L22" s="209">
        <v>11.45</v>
      </c>
      <c r="M22" s="210">
        <v>-1</v>
      </c>
      <c r="N22" s="188">
        <v>0.16</v>
      </c>
      <c r="O22" s="211"/>
      <c r="P22" s="210"/>
      <c r="Q22" s="188"/>
      <c r="R22" s="189" t="str">
        <f t="shared" si="3"/>
        <v>II A</v>
      </c>
      <c r="S22" s="55" t="s">
        <v>555</v>
      </c>
      <c r="T22" s="212" t="s">
        <v>696</v>
      </c>
      <c r="U22" s="213"/>
      <c r="V22" s="6" t="s">
        <v>644</v>
      </c>
      <c r="W22" s="6" t="s">
        <v>666</v>
      </c>
    </row>
    <row r="23" spans="1:23" ht="15">
      <c r="A23" s="50">
        <v>5</v>
      </c>
      <c r="B23" s="51"/>
      <c r="C23" s="51" t="s">
        <v>697</v>
      </c>
      <c r="D23" s="52" t="s">
        <v>698</v>
      </c>
      <c r="E23" s="53" t="s">
        <v>699</v>
      </c>
      <c r="F23" s="208" t="s">
        <v>700</v>
      </c>
      <c r="G23" s="55" t="s">
        <v>132</v>
      </c>
      <c r="H23" s="55" t="s">
        <v>701</v>
      </c>
      <c r="I23" s="55" t="s">
        <v>702</v>
      </c>
      <c r="J23" s="55"/>
      <c r="K23" s="186">
        <f t="shared" si="2"/>
        <v>628</v>
      </c>
      <c r="L23" s="209">
        <v>11.95</v>
      </c>
      <c r="M23" s="210">
        <v>-1</v>
      </c>
      <c r="N23" s="188" t="s">
        <v>300</v>
      </c>
      <c r="O23" s="211"/>
      <c r="P23" s="210"/>
      <c r="Q23" s="188"/>
      <c r="R23" s="189" t="str">
        <f t="shared" si="3"/>
        <v>III A</v>
      </c>
      <c r="S23" s="55" t="s">
        <v>703</v>
      </c>
      <c r="T23" s="212" t="s">
        <v>704</v>
      </c>
      <c r="U23" s="213"/>
      <c r="V23" s="6" t="s">
        <v>644</v>
      </c>
      <c r="W23" s="6" t="s">
        <v>671</v>
      </c>
    </row>
    <row r="24" spans="1:23" ht="15">
      <c r="A24" s="50">
        <v>6</v>
      </c>
      <c r="B24" s="51"/>
      <c r="C24" s="51">
        <v>175</v>
      </c>
      <c r="D24" s="52" t="s">
        <v>705</v>
      </c>
      <c r="E24" s="53" t="s">
        <v>706</v>
      </c>
      <c r="F24" s="208" t="s">
        <v>707</v>
      </c>
      <c r="G24" s="55" t="s">
        <v>83</v>
      </c>
      <c r="H24" s="55"/>
      <c r="I24" s="55"/>
      <c r="J24" s="55" t="s">
        <v>311</v>
      </c>
      <c r="K24" s="186">
        <f t="shared" si="2"/>
        <v>534</v>
      </c>
      <c r="L24" s="209">
        <v>12.34</v>
      </c>
      <c r="M24" s="210">
        <v>-1</v>
      </c>
      <c r="N24" s="188" t="s">
        <v>300</v>
      </c>
      <c r="O24" s="211"/>
      <c r="P24" s="210"/>
      <c r="Q24" s="188"/>
      <c r="R24" s="189" t="str">
        <f t="shared" si="3"/>
        <v>III A</v>
      </c>
      <c r="S24" s="55" t="s">
        <v>708</v>
      </c>
      <c r="T24" s="212" t="s">
        <v>709</v>
      </c>
      <c r="U24" s="213"/>
      <c r="V24" s="6" t="s">
        <v>644</v>
      </c>
      <c r="W24" s="6" t="s">
        <v>678</v>
      </c>
    </row>
    <row r="25" spans="1:23" ht="15">
      <c r="A25" s="50">
        <v>7</v>
      </c>
      <c r="B25" s="51"/>
      <c r="C25" s="51">
        <v>64</v>
      </c>
      <c r="D25" s="52" t="s">
        <v>710</v>
      </c>
      <c r="E25" s="53" t="s">
        <v>711</v>
      </c>
      <c r="F25" s="208" t="s">
        <v>712</v>
      </c>
      <c r="G25" s="55" t="s">
        <v>260</v>
      </c>
      <c r="H25" s="55" t="s">
        <v>259</v>
      </c>
      <c r="I25" s="55"/>
      <c r="J25" s="55"/>
      <c r="K25" s="186"/>
      <c r="L25" s="209" t="s">
        <v>110</v>
      </c>
      <c r="M25" s="210"/>
      <c r="N25" s="188"/>
      <c r="O25" s="211"/>
      <c r="P25" s="210"/>
      <c r="Q25" s="188"/>
      <c r="R25" s="189">
        <f t="shared" si="3"/>
      </c>
      <c r="S25" s="55" t="s">
        <v>713</v>
      </c>
      <c r="T25" s="212" t="s">
        <v>714</v>
      </c>
      <c r="U25" s="213"/>
      <c r="V25" s="6" t="s">
        <v>644</v>
      </c>
      <c r="W25" s="6" t="s">
        <v>644</v>
      </c>
    </row>
    <row r="26" ht="3.75" customHeight="1"/>
    <row r="27" spans="3:8" ht="13.5" thickBot="1">
      <c r="C27" s="33"/>
      <c r="D27" s="34"/>
      <c r="E27" s="35">
        <v>3</v>
      </c>
      <c r="F27" s="36" t="s">
        <v>332</v>
      </c>
      <c r="G27" s="37">
        <v>6</v>
      </c>
      <c r="H27" s="38"/>
    </row>
    <row r="28" spans="1:21" s="185" customFormat="1" ht="13.5" thickBot="1">
      <c r="A28" s="177" t="s">
        <v>109</v>
      </c>
      <c r="B28" s="43" t="s">
        <v>17</v>
      </c>
      <c r="C28" s="178" t="s">
        <v>4</v>
      </c>
      <c r="D28" s="179" t="s">
        <v>5</v>
      </c>
      <c r="E28" s="180" t="s">
        <v>6</v>
      </c>
      <c r="F28" s="181" t="s">
        <v>7</v>
      </c>
      <c r="G28" s="160" t="s">
        <v>8</v>
      </c>
      <c r="H28" s="160" t="s">
        <v>9</v>
      </c>
      <c r="I28" s="160" t="s">
        <v>10</v>
      </c>
      <c r="J28" s="160" t="s">
        <v>11</v>
      </c>
      <c r="K28" s="181" t="s">
        <v>12</v>
      </c>
      <c r="L28" s="182" t="s">
        <v>632</v>
      </c>
      <c r="M28" s="160" t="s">
        <v>293</v>
      </c>
      <c r="N28" s="160" t="s">
        <v>294</v>
      </c>
      <c r="O28" s="160" t="s">
        <v>111</v>
      </c>
      <c r="P28" s="160" t="s">
        <v>293</v>
      </c>
      <c r="Q28" s="160" t="s">
        <v>294</v>
      </c>
      <c r="R28" s="183" t="s">
        <v>14</v>
      </c>
      <c r="S28" s="184" t="s">
        <v>15</v>
      </c>
      <c r="T28" s="175" t="s">
        <v>633</v>
      </c>
      <c r="U28" s="21">
        <v>2016</v>
      </c>
    </row>
    <row r="29" spans="1:23" ht="15">
      <c r="A29" s="50">
        <v>1</v>
      </c>
      <c r="B29" s="51"/>
      <c r="C29" s="51" t="s">
        <v>715</v>
      </c>
      <c r="D29" s="52" t="s">
        <v>716</v>
      </c>
      <c r="E29" s="53" t="s">
        <v>717</v>
      </c>
      <c r="F29" s="208" t="s">
        <v>718</v>
      </c>
      <c r="G29" s="55" t="s">
        <v>83</v>
      </c>
      <c r="H29" s="55"/>
      <c r="I29" s="55" t="s">
        <v>65</v>
      </c>
      <c r="J29" s="55" t="s">
        <v>163</v>
      </c>
      <c r="K29" s="186">
        <f aca="true" t="shared" si="4" ref="K29:K34">IF(ISBLANK(L29),"",TRUNC(24.63*(L29-17)^2))</f>
        <v>1002</v>
      </c>
      <c r="L29" s="209">
        <v>10.62</v>
      </c>
      <c r="M29" s="210">
        <v>-0.3</v>
      </c>
      <c r="N29" s="188">
        <v>0.143</v>
      </c>
      <c r="O29" s="211"/>
      <c r="P29" s="210"/>
      <c r="Q29" s="188"/>
      <c r="R29" s="189" t="str">
        <f aca="true" t="shared" si="5" ref="R29:R34">IF(ISBLANK(L29),"",IF(L29&gt;12.64,"",IF(L29&lt;=10.28,"TSM",IF(L29&lt;=10.58,"SM",IF(L29&lt;=10.9,"KSM",IF(L29&lt;=11.34,"I A",IF(L29&lt;=11.94,"II A",IF(L29&lt;=12.64,"III A"))))))))</f>
        <v>KSM</v>
      </c>
      <c r="S29" s="55" t="s">
        <v>719</v>
      </c>
      <c r="T29" s="215" t="s">
        <v>720</v>
      </c>
      <c r="U29" s="213"/>
      <c r="V29" s="6" t="s">
        <v>650</v>
      </c>
      <c r="W29" s="6" t="s">
        <v>660</v>
      </c>
    </row>
    <row r="30" spans="1:23" ht="15">
      <c r="A30" s="50">
        <v>2</v>
      </c>
      <c r="B30" s="51"/>
      <c r="C30" s="51" t="s">
        <v>721</v>
      </c>
      <c r="D30" s="52" t="s">
        <v>722</v>
      </c>
      <c r="E30" s="53" t="s">
        <v>723</v>
      </c>
      <c r="F30" s="208" t="s">
        <v>724</v>
      </c>
      <c r="G30" s="55" t="s">
        <v>546</v>
      </c>
      <c r="H30" s="55" t="s">
        <v>141</v>
      </c>
      <c r="I30" s="55"/>
      <c r="J30" s="55"/>
      <c r="K30" s="186">
        <f t="shared" si="4"/>
        <v>877</v>
      </c>
      <c r="L30" s="209">
        <v>11.03</v>
      </c>
      <c r="M30" s="210">
        <v>-0.3</v>
      </c>
      <c r="N30" s="188">
        <v>0.18</v>
      </c>
      <c r="O30" s="211"/>
      <c r="P30" s="210"/>
      <c r="Q30" s="188"/>
      <c r="R30" s="189" t="str">
        <f t="shared" si="5"/>
        <v>I A</v>
      </c>
      <c r="S30" s="55" t="s">
        <v>725</v>
      </c>
      <c r="T30" s="212" t="s">
        <v>726</v>
      </c>
      <c r="U30" s="213"/>
      <c r="V30" s="6" t="s">
        <v>650</v>
      </c>
      <c r="W30" s="6" t="s">
        <v>650</v>
      </c>
    </row>
    <row r="31" spans="1:23" ht="15">
      <c r="A31" s="50">
        <v>3</v>
      </c>
      <c r="B31" s="51"/>
      <c r="C31" s="51">
        <v>98</v>
      </c>
      <c r="D31" s="52" t="s">
        <v>727</v>
      </c>
      <c r="E31" s="53" t="s">
        <v>728</v>
      </c>
      <c r="F31" s="208" t="s">
        <v>729</v>
      </c>
      <c r="G31" s="55" t="s">
        <v>71</v>
      </c>
      <c r="H31" s="55" t="s">
        <v>72</v>
      </c>
      <c r="I31" s="55" t="s">
        <v>189</v>
      </c>
      <c r="J31" s="55"/>
      <c r="K31" s="186">
        <f t="shared" si="4"/>
        <v>874</v>
      </c>
      <c r="L31" s="209">
        <v>11.04</v>
      </c>
      <c r="M31" s="210">
        <v>-0.3</v>
      </c>
      <c r="N31" s="188">
        <v>0.152</v>
      </c>
      <c r="O31" s="211"/>
      <c r="P31" s="210"/>
      <c r="Q31" s="188"/>
      <c r="R31" s="189" t="str">
        <f t="shared" si="5"/>
        <v>I A</v>
      </c>
      <c r="S31" s="55" t="s">
        <v>730</v>
      </c>
      <c r="T31" s="212" t="s">
        <v>466</v>
      </c>
      <c r="U31" s="213">
        <v>11.24</v>
      </c>
      <c r="V31" s="6" t="s">
        <v>650</v>
      </c>
      <c r="W31" s="6" t="s">
        <v>666</v>
      </c>
    </row>
    <row r="32" spans="1:23" ht="15">
      <c r="A32" s="50">
        <v>4</v>
      </c>
      <c r="B32" s="51"/>
      <c r="C32" s="51">
        <v>183</v>
      </c>
      <c r="D32" s="52" t="s">
        <v>463</v>
      </c>
      <c r="E32" s="53" t="s">
        <v>731</v>
      </c>
      <c r="F32" s="208" t="s">
        <v>732</v>
      </c>
      <c r="G32" s="55" t="s">
        <v>43</v>
      </c>
      <c r="H32" s="55" t="s">
        <v>148</v>
      </c>
      <c r="I32" s="55" t="s">
        <v>688</v>
      </c>
      <c r="J32" s="55" t="s">
        <v>147</v>
      </c>
      <c r="K32" s="186">
        <f t="shared" si="4"/>
        <v>828</v>
      </c>
      <c r="L32" s="209">
        <v>11.2</v>
      </c>
      <c r="M32" s="210">
        <v>-0.3</v>
      </c>
      <c r="N32" s="188" t="s">
        <v>300</v>
      </c>
      <c r="O32" s="211"/>
      <c r="P32" s="210"/>
      <c r="Q32" s="188"/>
      <c r="R32" s="189" t="str">
        <f t="shared" si="5"/>
        <v>I A</v>
      </c>
      <c r="S32" s="55" t="s">
        <v>733</v>
      </c>
      <c r="T32" s="212" t="s">
        <v>734</v>
      </c>
      <c r="U32" s="213"/>
      <c r="V32" s="6" t="s">
        <v>650</v>
      </c>
      <c r="W32" s="6" t="s">
        <v>655</v>
      </c>
    </row>
    <row r="33" spans="1:23" ht="15">
      <c r="A33" s="50">
        <v>5</v>
      </c>
      <c r="B33" s="51"/>
      <c r="C33" s="51" t="s">
        <v>735</v>
      </c>
      <c r="D33" s="52" t="s">
        <v>736</v>
      </c>
      <c r="E33" s="53" t="s">
        <v>737</v>
      </c>
      <c r="F33" s="208" t="s">
        <v>738</v>
      </c>
      <c r="G33" s="55" t="s">
        <v>83</v>
      </c>
      <c r="H33" s="55" t="s">
        <v>676</v>
      </c>
      <c r="I33" s="55"/>
      <c r="J33" s="55"/>
      <c r="K33" s="186">
        <f t="shared" si="4"/>
        <v>544</v>
      </c>
      <c r="L33" s="209">
        <v>12.3</v>
      </c>
      <c r="M33" s="210">
        <v>-0.3</v>
      </c>
      <c r="N33" s="188">
        <v>0.179</v>
      </c>
      <c r="O33" s="211"/>
      <c r="P33" s="210"/>
      <c r="Q33" s="188"/>
      <c r="R33" s="189" t="str">
        <f t="shared" si="5"/>
        <v>III A</v>
      </c>
      <c r="S33" s="55" t="s">
        <v>677</v>
      </c>
      <c r="T33" s="212" t="s">
        <v>739</v>
      </c>
      <c r="U33" s="213"/>
      <c r="V33" s="6" t="s">
        <v>650</v>
      </c>
      <c r="W33" s="6" t="s">
        <v>644</v>
      </c>
    </row>
    <row r="34" spans="1:23" ht="15">
      <c r="A34" s="50">
        <v>6</v>
      </c>
      <c r="B34" s="51"/>
      <c r="C34" s="51" t="s">
        <v>740</v>
      </c>
      <c r="D34" s="52" t="s">
        <v>651</v>
      </c>
      <c r="E34" s="53" t="s">
        <v>105</v>
      </c>
      <c r="F34" s="208" t="s">
        <v>741</v>
      </c>
      <c r="G34" s="55" t="s">
        <v>83</v>
      </c>
      <c r="H34" s="55"/>
      <c r="I34" s="55"/>
      <c r="J34" s="55"/>
      <c r="K34" s="186">
        <f t="shared" si="4"/>
        <v>530</v>
      </c>
      <c r="L34" s="209">
        <v>12.36</v>
      </c>
      <c r="M34" s="210">
        <v>-0.3</v>
      </c>
      <c r="N34" s="188" t="s">
        <v>300</v>
      </c>
      <c r="O34" s="211"/>
      <c r="P34" s="210"/>
      <c r="Q34" s="188"/>
      <c r="R34" s="189" t="str">
        <f t="shared" si="5"/>
        <v>III A</v>
      </c>
      <c r="S34" s="55" t="s">
        <v>742</v>
      </c>
      <c r="T34" s="212" t="s">
        <v>739</v>
      </c>
      <c r="U34" s="213"/>
      <c r="V34" s="6" t="s">
        <v>650</v>
      </c>
      <c r="W34" s="6" t="s">
        <v>678</v>
      </c>
    </row>
    <row r="35" ht="3.75" customHeight="1"/>
    <row r="36" spans="3:8" ht="13.5" thickBot="1">
      <c r="C36" s="33"/>
      <c r="D36" s="34"/>
      <c r="E36" s="35">
        <v>4</v>
      </c>
      <c r="F36" s="36" t="s">
        <v>332</v>
      </c>
      <c r="G36" s="37">
        <v>6</v>
      </c>
      <c r="H36" s="38"/>
    </row>
    <row r="37" spans="1:21" s="185" customFormat="1" ht="13.5" thickBot="1">
      <c r="A37" s="177" t="s">
        <v>109</v>
      </c>
      <c r="B37" s="43" t="s">
        <v>17</v>
      </c>
      <c r="C37" s="178" t="s">
        <v>4</v>
      </c>
      <c r="D37" s="179" t="s">
        <v>5</v>
      </c>
      <c r="E37" s="180" t="s">
        <v>6</v>
      </c>
      <c r="F37" s="181" t="s">
        <v>7</v>
      </c>
      <c r="G37" s="160" t="s">
        <v>8</v>
      </c>
      <c r="H37" s="160" t="s">
        <v>9</v>
      </c>
      <c r="I37" s="160" t="s">
        <v>10</v>
      </c>
      <c r="J37" s="160" t="s">
        <v>11</v>
      </c>
      <c r="K37" s="181" t="s">
        <v>12</v>
      </c>
      <c r="L37" s="182" t="s">
        <v>632</v>
      </c>
      <c r="M37" s="160" t="s">
        <v>293</v>
      </c>
      <c r="N37" s="160" t="s">
        <v>294</v>
      </c>
      <c r="O37" s="160" t="s">
        <v>111</v>
      </c>
      <c r="P37" s="160" t="s">
        <v>293</v>
      </c>
      <c r="Q37" s="160" t="s">
        <v>294</v>
      </c>
      <c r="R37" s="183" t="s">
        <v>14</v>
      </c>
      <c r="S37" s="184" t="s">
        <v>15</v>
      </c>
      <c r="T37" s="175" t="s">
        <v>633</v>
      </c>
      <c r="U37" s="21">
        <v>2016</v>
      </c>
    </row>
    <row r="38" spans="1:23" ht="15">
      <c r="A38" s="50">
        <v>1</v>
      </c>
      <c r="B38" s="51"/>
      <c r="C38" s="51" t="s">
        <v>743</v>
      </c>
      <c r="D38" s="52" t="s">
        <v>744</v>
      </c>
      <c r="E38" s="53" t="s">
        <v>745</v>
      </c>
      <c r="F38" s="208" t="s">
        <v>746</v>
      </c>
      <c r="G38" s="55" t="s">
        <v>71</v>
      </c>
      <c r="H38" s="55"/>
      <c r="I38" s="55" t="s">
        <v>65</v>
      </c>
      <c r="J38" s="55"/>
      <c r="K38" s="186">
        <f aca="true" t="shared" si="6" ref="K38:K44">IF(ISBLANK(L38),"",TRUNC(24.63*(L38-17)^2))</f>
        <v>974</v>
      </c>
      <c r="L38" s="209">
        <v>10.71</v>
      </c>
      <c r="M38" s="210">
        <v>1.2</v>
      </c>
      <c r="N38" s="188">
        <v>0.115</v>
      </c>
      <c r="O38" s="211"/>
      <c r="P38" s="210"/>
      <c r="Q38" s="188"/>
      <c r="R38" s="189" t="str">
        <f aca="true" t="shared" si="7" ref="R38:R44">IF(ISBLANK(L38),"",IF(L38&gt;12.64,"",IF(L38&lt;=10.28,"TSM",IF(L38&lt;=10.58,"SM",IF(L38&lt;=10.9,"KSM",IF(L38&lt;=11.34,"I A",IF(L38&lt;=11.94,"II A",IF(L38&lt;=12.64,"III A"))))))))</f>
        <v>KSM</v>
      </c>
      <c r="S38" s="55" t="s">
        <v>682</v>
      </c>
      <c r="T38" s="212" t="s">
        <v>466</v>
      </c>
      <c r="U38" s="213">
        <v>10.44</v>
      </c>
      <c r="V38" s="6" t="s">
        <v>655</v>
      </c>
      <c r="W38" s="6" t="s">
        <v>660</v>
      </c>
    </row>
    <row r="39" spans="1:23" ht="15">
      <c r="A39" s="50">
        <v>2</v>
      </c>
      <c r="B39" s="51"/>
      <c r="C39" s="51">
        <v>75</v>
      </c>
      <c r="D39" s="52" t="s">
        <v>747</v>
      </c>
      <c r="E39" s="53" t="s">
        <v>748</v>
      </c>
      <c r="F39" s="208" t="s">
        <v>749</v>
      </c>
      <c r="G39" s="55" t="s">
        <v>132</v>
      </c>
      <c r="H39" s="55"/>
      <c r="I39" s="55" t="s">
        <v>172</v>
      </c>
      <c r="J39" s="55" t="s">
        <v>171</v>
      </c>
      <c r="K39" s="186">
        <f t="shared" si="6"/>
        <v>825</v>
      </c>
      <c r="L39" s="209">
        <v>11.21</v>
      </c>
      <c r="M39" s="210">
        <v>1.2</v>
      </c>
      <c r="N39" s="188">
        <v>0.164</v>
      </c>
      <c r="O39" s="211"/>
      <c r="P39" s="210"/>
      <c r="Q39" s="188"/>
      <c r="R39" s="189" t="str">
        <f t="shared" si="7"/>
        <v>I A</v>
      </c>
      <c r="S39" s="55" t="s">
        <v>750</v>
      </c>
      <c r="T39" s="215" t="s">
        <v>751</v>
      </c>
      <c r="U39" s="213"/>
      <c r="V39" s="6" t="s">
        <v>655</v>
      </c>
      <c r="W39" s="6" t="s">
        <v>666</v>
      </c>
    </row>
    <row r="40" spans="1:23" ht="15">
      <c r="A40" s="50">
        <v>3</v>
      </c>
      <c r="B40" s="51"/>
      <c r="C40" s="51">
        <v>68</v>
      </c>
      <c r="D40" s="52" t="s">
        <v>752</v>
      </c>
      <c r="E40" s="53" t="s">
        <v>753</v>
      </c>
      <c r="F40" s="208" t="s">
        <v>754</v>
      </c>
      <c r="G40" s="55" t="s">
        <v>83</v>
      </c>
      <c r="H40" s="55"/>
      <c r="I40" s="55"/>
      <c r="J40" s="55" t="s">
        <v>102</v>
      </c>
      <c r="K40" s="186">
        <f t="shared" si="6"/>
        <v>775</v>
      </c>
      <c r="L40" s="209">
        <v>11.39</v>
      </c>
      <c r="M40" s="210">
        <v>1.2</v>
      </c>
      <c r="N40" s="188" t="s">
        <v>300</v>
      </c>
      <c r="O40" s="211"/>
      <c r="P40" s="210"/>
      <c r="Q40" s="188"/>
      <c r="R40" s="189" t="str">
        <f t="shared" si="7"/>
        <v>II A</v>
      </c>
      <c r="S40" s="55" t="s">
        <v>755</v>
      </c>
      <c r="T40" s="212" t="s">
        <v>756</v>
      </c>
      <c r="U40" s="213"/>
      <c r="V40" s="6" t="s">
        <v>655</v>
      </c>
      <c r="W40" s="6" t="s">
        <v>655</v>
      </c>
    </row>
    <row r="41" spans="1:23" ht="15">
      <c r="A41" s="50">
        <v>4</v>
      </c>
      <c r="B41" s="51"/>
      <c r="C41" s="51">
        <v>69</v>
      </c>
      <c r="D41" s="52" t="s">
        <v>92</v>
      </c>
      <c r="E41" s="53" t="s">
        <v>757</v>
      </c>
      <c r="F41" s="208" t="s">
        <v>758</v>
      </c>
      <c r="G41" s="55" t="s">
        <v>83</v>
      </c>
      <c r="H41" s="55"/>
      <c r="I41" s="55"/>
      <c r="J41" s="55" t="s">
        <v>102</v>
      </c>
      <c r="K41" s="186">
        <f t="shared" si="6"/>
        <v>726</v>
      </c>
      <c r="L41" s="209">
        <v>11.57</v>
      </c>
      <c r="M41" s="210">
        <v>1.2</v>
      </c>
      <c r="N41" s="188">
        <v>0.173</v>
      </c>
      <c r="O41" s="211"/>
      <c r="P41" s="210"/>
      <c r="Q41" s="188"/>
      <c r="R41" s="189" t="str">
        <f t="shared" si="7"/>
        <v>II A</v>
      </c>
      <c r="S41" s="55" t="s">
        <v>755</v>
      </c>
      <c r="T41" s="212" t="s">
        <v>759</v>
      </c>
      <c r="U41" s="213"/>
      <c r="V41" s="6" t="s">
        <v>655</v>
      </c>
      <c r="W41" s="6" t="s">
        <v>650</v>
      </c>
    </row>
    <row r="42" spans="1:23" ht="15">
      <c r="A42" s="50">
        <v>5</v>
      </c>
      <c r="B42" s="51"/>
      <c r="C42" s="51" t="s">
        <v>760</v>
      </c>
      <c r="D42" s="52" t="s">
        <v>761</v>
      </c>
      <c r="E42" s="53" t="s">
        <v>762</v>
      </c>
      <c r="F42" s="208" t="s">
        <v>319</v>
      </c>
      <c r="G42" s="55" t="s">
        <v>22</v>
      </c>
      <c r="H42" s="55" t="s">
        <v>72</v>
      </c>
      <c r="I42" s="55" t="s">
        <v>763</v>
      </c>
      <c r="J42" s="55" t="s">
        <v>107</v>
      </c>
      <c r="K42" s="186">
        <f t="shared" si="6"/>
        <v>678</v>
      </c>
      <c r="L42" s="209">
        <v>11.75</v>
      </c>
      <c r="M42" s="210">
        <v>1.2</v>
      </c>
      <c r="N42" s="188">
        <v>0.209</v>
      </c>
      <c r="O42" s="211"/>
      <c r="P42" s="210"/>
      <c r="Q42" s="188"/>
      <c r="R42" s="189" t="str">
        <f t="shared" si="7"/>
        <v>II A</v>
      </c>
      <c r="S42" s="55" t="s">
        <v>764</v>
      </c>
      <c r="T42" s="212" t="s">
        <v>765</v>
      </c>
      <c r="U42" s="213"/>
      <c r="V42" s="6" t="s">
        <v>655</v>
      </c>
      <c r="W42" s="6" t="s">
        <v>671</v>
      </c>
    </row>
    <row r="43" spans="1:23" ht="15">
      <c r="A43" s="50">
        <v>6</v>
      </c>
      <c r="B43" s="51"/>
      <c r="C43" s="51" t="s">
        <v>766</v>
      </c>
      <c r="D43" s="52" t="s">
        <v>767</v>
      </c>
      <c r="E43" s="53" t="s">
        <v>768</v>
      </c>
      <c r="F43" s="208" t="s">
        <v>769</v>
      </c>
      <c r="G43" s="55" t="s">
        <v>22</v>
      </c>
      <c r="H43" s="55" t="s">
        <v>72</v>
      </c>
      <c r="I43" s="55" t="s">
        <v>770</v>
      </c>
      <c r="J43" s="55"/>
      <c r="K43" s="186">
        <f t="shared" si="6"/>
        <v>613</v>
      </c>
      <c r="L43" s="209">
        <v>12.01</v>
      </c>
      <c r="M43" s="210">
        <v>1.2</v>
      </c>
      <c r="N43" s="188">
        <v>0.209</v>
      </c>
      <c r="O43" s="211"/>
      <c r="P43" s="210"/>
      <c r="Q43" s="188"/>
      <c r="R43" s="189" t="str">
        <f t="shared" si="7"/>
        <v>III A</v>
      </c>
      <c r="S43" s="55" t="s">
        <v>205</v>
      </c>
      <c r="T43" s="212" t="s">
        <v>771</v>
      </c>
      <c r="U43" s="213"/>
      <c r="V43" s="6" t="s">
        <v>655</v>
      </c>
      <c r="W43" s="6" t="s">
        <v>678</v>
      </c>
    </row>
    <row r="44" spans="1:23" ht="15">
      <c r="A44" s="50">
        <v>7</v>
      </c>
      <c r="B44" s="51"/>
      <c r="C44" s="51" t="s">
        <v>772</v>
      </c>
      <c r="D44" s="52" t="s">
        <v>651</v>
      </c>
      <c r="E44" s="53" t="s">
        <v>773</v>
      </c>
      <c r="F44" s="208" t="s">
        <v>774</v>
      </c>
      <c r="G44" s="55" t="s">
        <v>22</v>
      </c>
      <c r="H44" s="55" t="s">
        <v>72</v>
      </c>
      <c r="I44" s="55" t="s">
        <v>770</v>
      </c>
      <c r="J44" s="55"/>
      <c r="K44" s="186">
        <f t="shared" si="6"/>
        <v>525</v>
      </c>
      <c r="L44" s="209">
        <v>12.38</v>
      </c>
      <c r="M44" s="210">
        <v>1.2</v>
      </c>
      <c r="N44" s="188">
        <v>0.158</v>
      </c>
      <c r="O44" s="211"/>
      <c r="P44" s="210"/>
      <c r="Q44" s="188"/>
      <c r="R44" s="189" t="str">
        <f t="shared" si="7"/>
        <v>III A</v>
      </c>
      <c r="S44" s="55" t="s">
        <v>205</v>
      </c>
      <c r="T44" s="212" t="s">
        <v>775</v>
      </c>
      <c r="U44" s="213"/>
      <c r="V44" s="6" t="s">
        <v>655</v>
      </c>
      <c r="W44" s="6" t="s">
        <v>644</v>
      </c>
    </row>
    <row r="45" ht="3.75" customHeight="1">
      <c r="V45" s="24">
        <v>4</v>
      </c>
    </row>
    <row r="46" spans="3:8" ht="13.5" thickBot="1">
      <c r="C46" s="33"/>
      <c r="D46" s="34"/>
      <c r="E46" s="35">
        <v>5</v>
      </c>
      <c r="F46" s="36" t="s">
        <v>332</v>
      </c>
      <c r="G46" s="37">
        <v>6</v>
      </c>
      <c r="H46" s="38"/>
    </row>
    <row r="47" spans="1:21" s="185" customFormat="1" ht="13.5" thickBot="1">
      <c r="A47" s="177" t="s">
        <v>109</v>
      </c>
      <c r="B47" s="43" t="s">
        <v>17</v>
      </c>
      <c r="C47" s="178" t="s">
        <v>4</v>
      </c>
      <c r="D47" s="179" t="s">
        <v>5</v>
      </c>
      <c r="E47" s="180" t="s">
        <v>6</v>
      </c>
      <c r="F47" s="181" t="s">
        <v>7</v>
      </c>
      <c r="G47" s="160" t="s">
        <v>8</v>
      </c>
      <c r="H47" s="160" t="s">
        <v>9</v>
      </c>
      <c r="I47" s="160" t="s">
        <v>10</v>
      </c>
      <c r="J47" s="160" t="s">
        <v>11</v>
      </c>
      <c r="K47" s="181" t="s">
        <v>12</v>
      </c>
      <c r="L47" s="182" t="s">
        <v>632</v>
      </c>
      <c r="M47" s="160" t="s">
        <v>293</v>
      </c>
      <c r="N47" s="160" t="s">
        <v>294</v>
      </c>
      <c r="O47" s="160" t="s">
        <v>111</v>
      </c>
      <c r="P47" s="160" t="s">
        <v>293</v>
      </c>
      <c r="Q47" s="160" t="s">
        <v>294</v>
      </c>
      <c r="R47" s="183" t="s">
        <v>14</v>
      </c>
      <c r="S47" s="184" t="s">
        <v>15</v>
      </c>
      <c r="T47" s="175" t="s">
        <v>633</v>
      </c>
      <c r="U47" s="21">
        <v>2016</v>
      </c>
    </row>
    <row r="48" spans="1:23" ht="15">
      <c r="A48" s="50">
        <v>1</v>
      </c>
      <c r="B48" s="51"/>
      <c r="C48" s="51">
        <v>81</v>
      </c>
      <c r="D48" s="52" t="s">
        <v>776</v>
      </c>
      <c r="E48" s="53" t="s">
        <v>777</v>
      </c>
      <c r="F48" s="208" t="s">
        <v>778</v>
      </c>
      <c r="G48" s="55" t="s">
        <v>132</v>
      </c>
      <c r="H48" s="55" t="s">
        <v>173</v>
      </c>
      <c r="I48" s="55" t="s">
        <v>172</v>
      </c>
      <c r="J48" s="55"/>
      <c r="K48" s="186">
        <f aca="true" t="shared" si="8" ref="K48:K54">IF(ISBLANK(L48),"",TRUNC(24.63*(L48-17)^2))</f>
        <v>949</v>
      </c>
      <c r="L48" s="209">
        <v>10.79</v>
      </c>
      <c r="M48" s="210">
        <v>1.6</v>
      </c>
      <c r="N48" s="188">
        <v>0.164</v>
      </c>
      <c r="O48" s="211"/>
      <c r="P48" s="210"/>
      <c r="Q48" s="188"/>
      <c r="R48" s="189" t="str">
        <f aca="true" t="shared" si="9" ref="R48:R55">IF(ISBLANK(L48),"",IF(L48&gt;12.64,"",IF(L48&lt;=10.28,"TSM",IF(L48&lt;=10.58,"SM",IF(L48&lt;=10.9,"KSM",IF(L48&lt;=11.34,"I A",IF(L48&lt;=11.94,"II A",IF(L48&lt;=12.64,"III A"))))))))</f>
        <v>KSM</v>
      </c>
      <c r="S48" s="55" t="s">
        <v>779</v>
      </c>
      <c r="T48" s="214" t="s">
        <v>780</v>
      </c>
      <c r="U48" s="213"/>
      <c r="V48" s="6" t="s">
        <v>660</v>
      </c>
      <c r="W48" s="6" t="s">
        <v>660</v>
      </c>
    </row>
    <row r="49" spans="1:23" ht="15">
      <c r="A49" s="50">
        <v>2</v>
      </c>
      <c r="B49" s="51"/>
      <c r="C49" s="51">
        <v>62</v>
      </c>
      <c r="D49" s="52" t="s">
        <v>539</v>
      </c>
      <c r="E49" s="53" t="s">
        <v>781</v>
      </c>
      <c r="F49" s="208" t="s">
        <v>782</v>
      </c>
      <c r="G49" s="55" t="s">
        <v>783</v>
      </c>
      <c r="H49" s="55" t="s">
        <v>337</v>
      </c>
      <c r="I49" s="55"/>
      <c r="J49" s="55"/>
      <c r="K49" s="186">
        <f t="shared" si="8"/>
        <v>750</v>
      </c>
      <c r="L49" s="209">
        <v>11.48</v>
      </c>
      <c r="M49" s="210">
        <v>1.6</v>
      </c>
      <c r="N49" s="188">
        <v>0.186</v>
      </c>
      <c r="O49" s="211"/>
      <c r="P49" s="210"/>
      <c r="Q49" s="188"/>
      <c r="R49" s="189" t="str">
        <f t="shared" si="9"/>
        <v>II A</v>
      </c>
      <c r="S49" s="55" t="s">
        <v>784</v>
      </c>
      <c r="T49" s="212" t="s">
        <v>785</v>
      </c>
      <c r="U49" s="213"/>
      <c r="V49" s="6" t="s">
        <v>660</v>
      </c>
      <c r="W49" s="6" t="s">
        <v>650</v>
      </c>
    </row>
    <row r="50" spans="1:23" ht="15">
      <c r="A50" s="50">
        <v>3</v>
      </c>
      <c r="B50" s="51"/>
      <c r="C50" s="51" t="s">
        <v>786</v>
      </c>
      <c r="D50" s="52" t="s">
        <v>787</v>
      </c>
      <c r="E50" s="53" t="s">
        <v>652</v>
      </c>
      <c r="F50" s="208" t="s">
        <v>497</v>
      </c>
      <c r="G50" s="55" t="s">
        <v>527</v>
      </c>
      <c r="H50" s="55" t="s">
        <v>528</v>
      </c>
      <c r="I50" s="55" t="s">
        <v>37</v>
      </c>
      <c r="J50" s="55"/>
      <c r="K50" s="186">
        <f t="shared" si="8"/>
        <v>689</v>
      </c>
      <c r="L50" s="209">
        <v>11.71</v>
      </c>
      <c r="M50" s="210">
        <v>1.6</v>
      </c>
      <c r="N50" s="188" t="s">
        <v>300</v>
      </c>
      <c r="O50" s="211"/>
      <c r="P50" s="210"/>
      <c r="Q50" s="188"/>
      <c r="R50" s="189" t="str">
        <f t="shared" si="9"/>
        <v>II A</v>
      </c>
      <c r="S50" s="55" t="s">
        <v>529</v>
      </c>
      <c r="T50" s="212" t="s">
        <v>654</v>
      </c>
      <c r="U50" s="213"/>
      <c r="V50" s="6" t="s">
        <v>660</v>
      </c>
      <c r="W50" s="6" t="s">
        <v>655</v>
      </c>
    </row>
    <row r="51" spans="1:23" ht="15">
      <c r="A51" s="50">
        <v>4</v>
      </c>
      <c r="B51" s="51"/>
      <c r="C51" s="51" t="s">
        <v>788</v>
      </c>
      <c r="D51" s="52" t="s">
        <v>789</v>
      </c>
      <c r="E51" s="53" t="s">
        <v>790</v>
      </c>
      <c r="F51" s="208" t="s">
        <v>791</v>
      </c>
      <c r="G51" s="55" t="s">
        <v>792</v>
      </c>
      <c r="H51" s="55"/>
      <c r="I51" s="55"/>
      <c r="J51" s="55"/>
      <c r="K51" s="186">
        <f t="shared" si="8"/>
        <v>686</v>
      </c>
      <c r="L51" s="209">
        <v>11.72</v>
      </c>
      <c r="M51" s="210">
        <v>1.6</v>
      </c>
      <c r="N51" s="188">
        <v>0.197</v>
      </c>
      <c r="O51" s="211"/>
      <c r="P51" s="210"/>
      <c r="Q51" s="188"/>
      <c r="R51" s="189" t="str">
        <f t="shared" si="9"/>
        <v>II A</v>
      </c>
      <c r="S51" s="55" t="s">
        <v>793</v>
      </c>
      <c r="T51" s="212" t="s">
        <v>794</v>
      </c>
      <c r="U51" s="213"/>
      <c r="V51" s="6" t="s">
        <v>660</v>
      </c>
      <c r="W51" s="6" t="s">
        <v>671</v>
      </c>
    </row>
    <row r="52" spans="1:23" ht="15">
      <c r="A52" s="50">
        <v>5</v>
      </c>
      <c r="B52" s="51"/>
      <c r="C52" s="51" t="s">
        <v>795</v>
      </c>
      <c r="D52" s="52" t="s">
        <v>549</v>
      </c>
      <c r="E52" s="53" t="s">
        <v>796</v>
      </c>
      <c r="F52" s="208" t="s">
        <v>797</v>
      </c>
      <c r="G52" s="55" t="s">
        <v>50</v>
      </c>
      <c r="H52" s="55" t="s">
        <v>51</v>
      </c>
      <c r="I52" s="55" t="s">
        <v>52</v>
      </c>
      <c r="J52" s="55"/>
      <c r="K52" s="186">
        <f t="shared" si="8"/>
        <v>673</v>
      </c>
      <c r="L52" s="209">
        <v>11.77</v>
      </c>
      <c r="M52" s="210">
        <v>1.6</v>
      </c>
      <c r="N52" s="188">
        <v>0.189</v>
      </c>
      <c r="O52" s="211"/>
      <c r="P52" s="210"/>
      <c r="Q52" s="188"/>
      <c r="R52" s="189" t="str">
        <f t="shared" si="9"/>
        <v>II A</v>
      </c>
      <c r="S52" s="55" t="s">
        <v>798</v>
      </c>
      <c r="T52" s="212" t="s">
        <v>466</v>
      </c>
      <c r="U52" s="213"/>
      <c r="V52" s="6" t="s">
        <v>660</v>
      </c>
      <c r="W52" s="6" t="s">
        <v>644</v>
      </c>
    </row>
    <row r="53" spans="1:23" ht="15">
      <c r="A53" s="50">
        <v>6</v>
      </c>
      <c r="B53" s="51"/>
      <c r="C53" s="51" t="s">
        <v>799</v>
      </c>
      <c r="D53" s="52" t="s">
        <v>800</v>
      </c>
      <c r="E53" s="53" t="s">
        <v>801</v>
      </c>
      <c r="F53" s="208" t="s">
        <v>802</v>
      </c>
      <c r="G53" s="55" t="s">
        <v>95</v>
      </c>
      <c r="H53" s="55" t="s">
        <v>96</v>
      </c>
      <c r="I53" s="55" t="s">
        <v>97</v>
      </c>
      <c r="J53" s="55"/>
      <c r="K53" s="186">
        <f t="shared" si="8"/>
        <v>601</v>
      </c>
      <c r="L53" s="209">
        <v>12.06</v>
      </c>
      <c r="M53" s="210">
        <v>1.6</v>
      </c>
      <c r="N53" s="188">
        <v>0.239</v>
      </c>
      <c r="O53" s="211"/>
      <c r="P53" s="210"/>
      <c r="Q53" s="188"/>
      <c r="R53" s="189" t="str">
        <f t="shared" si="9"/>
        <v>III A</v>
      </c>
      <c r="S53" s="55" t="s">
        <v>98</v>
      </c>
      <c r="T53" s="212" t="s">
        <v>803</v>
      </c>
      <c r="U53" s="213"/>
      <c r="V53" s="6" t="s">
        <v>660</v>
      </c>
      <c r="W53" s="6" t="s">
        <v>678</v>
      </c>
    </row>
    <row r="54" spans="1:23" ht="15">
      <c r="A54" s="50">
        <v>7</v>
      </c>
      <c r="B54" s="51"/>
      <c r="C54" s="51">
        <v>90</v>
      </c>
      <c r="D54" s="52" t="s">
        <v>804</v>
      </c>
      <c r="E54" s="53" t="s">
        <v>805</v>
      </c>
      <c r="F54" s="208" t="s">
        <v>806</v>
      </c>
      <c r="G54" s="55" t="s">
        <v>22</v>
      </c>
      <c r="H54" s="55" t="s">
        <v>72</v>
      </c>
      <c r="I54" s="55" t="s">
        <v>356</v>
      </c>
      <c r="J54" s="55"/>
      <c r="K54" s="186">
        <f t="shared" si="8"/>
        <v>591</v>
      </c>
      <c r="L54" s="209">
        <v>12.1</v>
      </c>
      <c r="M54" s="210">
        <v>1.6</v>
      </c>
      <c r="N54" s="188">
        <v>0.194</v>
      </c>
      <c r="O54" s="211"/>
      <c r="P54" s="210"/>
      <c r="Q54" s="188"/>
      <c r="R54" s="189" t="str">
        <f t="shared" si="9"/>
        <v>III A</v>
      </c>
      <c r="S54" s="55" t="s">
        <v>357</v>
      </c>
      <c r="T54" s="212" t="s">
        <v>466</v>
      </c>
      <c r="U54" s="213"/>
      <c r="V54" s="6" t="s">
        <v>660</v>
      </c>
      <c r="W54" s="6" t="s">
        <v>637</v>
      </c>
    </row>
    <row r="55" spans="1:23" ht="15">
      <c r="A55" s="50">
        <v>8</v>
      </c>
      <c r="B55" s="51"/>
      <c r="C55" s="51" t="s">
        <v>807</v>
      </c>
      <c r="D55" s="52" t="s">
        <v>651</v>
      </c>
      <c r="E55" s="53" t="s">
        <v>808</v>
      </c>
      <c r="F55" s="208" t="s">
        <v>809</v>
      </c>
      <c r="G55" s="55" t="s">
        <v>71</v>
      </c>
      <c r="H55" s="55" t="s">
        <v>72</v>
      </c>
      <c r="I55" s="55" t="s">
        <v>189</v>
      </c>
      <c r="J55" s="55" t="s">
        <v>23</v>
      </c>
      <c r="K55" s="186"/>
      <c r="L55" s="209" t="s">
        <v>329</v>
      </c>
      <c r="M55" s="210"/>
      <c r="N55" s="188">
        <v>0.174</v>
      </c>
      <c r="O55" s="211"/>
      <c r="P55" s="210"/>
      <c r="Q55" s="188"/>
      <c r="R55" s="189">
        <f t="shared" si="9"/>
      </c>
      <c r="S55" s="55" t="s">
        <v>810</v>
      </c>
      <c r="T55" s="212" t="s">
        <v>466</v>
      </c>
      <c r="U55" s="216">
        <v>10.7</v>
      </c>
      <c r="V55" s="6" t="s">
        <v>660</v>
      </c>
      <c r="W55" s="6" t="s">
        <v>666</v>
      </c>
    </row>
    <row r="56" ht="3.75" customHeight="1"/>
    <row r="57" spans="3:8" ht="13.5" thickBot="1">
      <c r="C57" s="33"/>
      <c r="D57" s="34"/>
      <c r="E57" s="35">
        <v>6</v>
      </c>
      <c r="F57" s="36" t="s">
        <v>332</v>
      </c>
      <c r="G57" s="37">
        <v>6</v>
      </c>
      <c r="H57" s="38"/>
    </row>
    <row r="58" spans="1:21" s="185" customFormat="1" ht="13.5" thickBot="1">
      <c r="A58" s="177" t="s">
        <v>109</v>
      </c>
      <c r="B58" s="43" t="s">
        <v>17</v>
      </c>
      <c r="C58" s="178" t="s">
        <v>4</v>
      </c>
      <c r="D58" s="179" t="s">
        <v>5</v>
      </c>
      <c r="E58" s="180" t="s">
        <v>6</v>
      </c>
      <c r="F58" s="181" t="s">
        <v>7</v>
      </c>
      <c r="G58" s="160" t="s">
        <v>8</v>
      </c>
      <c r="H58" s="160" t="s">
        <v>9</v>
      </c>
      <c r="I58" s="160" t="s">
        <v>10</v>
      </c>
      <c r="J58" s="160" t="s">
        <v>11</v>
      </c>
      <c r="K58" s="181" t="s">
        <v>12</v>
      </c>
      <c r="L58" s="182" t="s">
        <v>632</v>
      </c>
      <c r="M58" s="160" t="s">
        <v>293</v>
      </c>
      <c r="N58" s="160" t="s">
        <v>294</v>
      </c>
      <c r="O58" s="160" t="s">
        <v>111</v>
      </c>
      <c r="P58" s="160" t="s">
        <v>293</v>
      </c>
      <c r="Q58" s="160" t="s">
        <v>294</v>
      </c>
      <c r="R58" s="183" t="s">
        <v>14</v>
      </c>
      <c r="S58" s="184" t="s">
        <v>15</v>
      </c>
      <c r="T58" s="175" t="s">
        <v>633</v>
      </c>
      <c r="U58" s="21">
        <v>2016</v>
      </c>
    </row>
    <row r="59" spans="1:23" ht="15">
      <c r="A59" s="50">
        <v>1</v>
      </c>
      <c r="B59" s="51"/>
      <c r="C59" s="51" t="s">
        <v>811</v>
      </c>
      <c r="D59" s="52" t="s">
        <v>651</v>
      </c>
      <c r="E59" s="53" t="s">
        <v>812</v>
      </c>
      <c r="F59" s="208" t="s">
        <v>813</v>
      </c>
      <c r="G59" s="55" t="s">
        <v>83</v>
      </c>
      <c r="H59" s="55"/>
      <c r="I59" s="55" t="s">
        <v>65</v>
      </c>
      <c r="J59" s="55" t="s">
        <v>287</v>
      </c>
      <c r="K59" s="186">
        <f aca="true" t="shared" si="10" ref="K59:K66">IF(ISBLANK(L59),"",TRUNC(24.63*(L59-17)^2))</f>
        <v>910</v>
      </c>
      <c r="L59" s="209">
        <v>10.92</v>
      </c>
      <c r="M59" s="210">
        <v>-0.5</v>
      </c>
      <c r="N59" s="188">
        <v>0.153</v>
      </c>
      <c r="O59" s="211"/>
      <c r="P59" s="210"/>
      <c r="Q59" s="188"/>
      <c r="R59" s="189" t="str">
        <f aca="true" t="shared" si="11" ref="R59:R66">IF(ISBLANK(L59),"",IF(L59&gt;12.64,"",IF(L59&lt;=10.28,"TSM",IF(L59&lt;=10.58,"SM",IF(L59&lt;=10.9,"KSM",IF(L59&lt;=11.34,"I A",IF(L59&lt;=11.94,"II A",IF(L59&lt;=12.64,"III A"))))))))</f>
        <v>I A</v>
      </c>
      <c r="S59" s="55" t="s">
        <v>555</v>
      </c>
      <c r="T59" s="215" t="s">
        <v>814</v>
      </c>
      <c r="U59" s="213"/>
      <c r="V59" s="6" t="s">
        <v>666</v>
      </c>
      <c r="W59" s="6" t="s">
        <v>660</v>
      </c>
    </row>
    <row r="60" spans="1:24" ht="15">
      <c r="A60" s="50">
        <v>2</v>
      </c>
      <c r="B60" s="51"/>
      <c r="C60" s="51" t="s">
        <v>815</v>
      </c>
      <c r="D60" s="52" t="s">
        <v>592</v>
      </c>
      <c r="E60" s="53" t="s">
        <v>816</v>
      </c>
      <c r="F60" s="208" t="s">
        <v>817</v>
      </c>
      <c r="G60" s="55" t="s">
        <v>83</v>
      </c>
      <c r="H60" s="55"/>
      <c r="I60" s="55"/>
      <c r="J60" s="55" t="s">
        <v>85</v>
      </c>
      <c r="K60" s="186">
        <f t="shared" si="10"/>
        <v>866</v>
      </c>
      <c r="L60" s="209">
        <v>11.07</v>
      </c>
      <c r="M60" s="210">
        <v>-0.5</v>
      </c>
      <c r="N60" s="188" t="s">
        <v>300</v>
      </c>
      <c r="O60" s="211"/>
      <c r="P60" s="210"/>
      <c r="Q60" s="188"/>
      <c r="R60" s="189" t="str">
        <f t="shared" si="11"/>
        <v>I A</v>
      </c>
      <c r="S60" s="55" t="s">
        <v>818</v>
      </c>
      <c r="T60" s="212" t="s">
        <v>819</v>
      </c>
      <c r="U60" s="213"/>
      <c r="V60" s="6" t="s">
        <v>666</v>
      </c>
      <c r="W60" s="6" t="s">
        <v>655</v>
      </c>
      <c r="X60" s="24" t="s">
        <v>820</v>
      </c>
    </row>
    <row r="61" spans="1:24" ht="15">
      <c r="A61" s="50">
        <v>3</v>
      </c>
      <c r="B61" s="51"/>
      <c r="C61" s="51">
        <v>94</v>
      </c>
      <c r="D61" s="52" t="s">
        <v>821</v>
      </c>
      <c r="E61" s="53" t="s">
        <v>822</v>
      </c>
      <c r="F61" s="208" t="s">
        <v>823</v>
      </c>
      <c r="G61" s="55" t="s">
        <v>824</v>
      </c>
      <c r="H61" s="55"/>
      <c r="I61" s="55" t="s">
        <v>189</v>
      </c>
      <c r="J61" s="55" t="s">
        <v>107</v>
      </c>
      <c r="K61" s="186">
        <f t="shared" si="10"/>
        <v>866</v>
      </c>
      <c r="L61" s="209">
        <v>11.07</v>
      </c>
      <c r="M61" s="210">
        <v>-0.5</v>
      </c>
      <c r="N61" s="188">
        <v>0.192</v>
      </c>
      <c r="O61" s="211"/>
      <c r="P61" s="210"/>
      <c r="Q61" s="188"/>
      <c r="R61" s="189" t="str">
        <f t="shared" si="11"/>
        <v>I A</v>
      </c>
      <c r="S61" s="55" t="s">
        <v>825</v>
      </c>
      <c r="T61" s="212" t="s">
        <v>466</v>
      </c>
      <c r="U61" s="213">
        <v>10.71</v>
      </c>
      <c r="V61" s="6" t="s">
        <v>666</v>
      </c>
      <c r="W61" s="6" t="s">
        <v>666</v>
      </c>
      <c r="X61" s="24" t="s">
        <v>826</v>
      </c>
    </row>
    <row r="62" spans="1:23" ht="15">
      <c r="A62" s="50">
        <v>4</v>
      </c>
      <c r="B62" s="51"/>
      <c r="C62" s="51">
        <v>177</v>
      </c>
      <c r="D62" s="52" t="s">
        <v>827</v>
      </c>
      <c r="E62" s="53" t="s">
        <v>828</v>
      </c>
      <c r="F62" s="208" t="s">
        <v>829</v>
      </c>
      <c r="G62" s="55" t="s">
        <v>498</v>
      </c>
      <c r="H62" s="55" t="s">
        <v>528</v>
      </c>
      <c r="I62" s="55"/>
      <c r="J62" s="55"/>
      <c r="K62" s="186">
        <f t="shared" si="10"/>
        <v>684</v>
      </c>
      <c r="L62" s="209">
        <v>11.73</v>
      </c>
      <c r="M62" s="210">
        <v>-0.5</v>
      </c>
      <c r="N62" s="188">
        <v>0.187</v>
      </c>
      <c r="O62" s="211"/>
      <c r="P62" s="210"/>
      <c r="Q62" s="188"/>
      <c r="R62" s="189" t="str">
        <f t="shared" si="11"/>
        <v>II A</v>
      </c>
      <c r="S62" s="55" t="s">
        <v>542</v>
      </c>
      <c r="T62" s="212" t="s">
        <v>830</v>
      </c>
      <c r="U62" s="213"/>
      <c r="V62" s="6" t="s">
        <v>666</v>
      </c>
      <c r="W62" s="6" t="s">
        <v>671</v>
      </c>
    </row>
    <row r="63" spans="1:23" ht="15">
      <c r="A63" s="50">
        <v>5</v>
      </c>
      <c r="B63" s="51"/>
      <c r="C63" s="51" t="s">
        <v>831</v>
      </c>
      <c r="D63" s="52" t="s">
        <v>516</v>
      </c>
      <c r="E63" s="53" t="s">
        <v>832</v>
      </c>
      <c r="F63" s="208" t="s">
        <v>833</v>
      </c>
      <c r="G63" s="55" t="s">
        <v>22</v>
      </c>
      <c r="H63" s="55"/>
      <c r="I63" s="55"/>
      <c r="J63" s="55" t="s">
        <v>23</v>
      </c>
      <c r="K63" s="186">
        <f t="shared" si="10"/>
        <v>676</v>
      </c>
      <c r="L63" s="209">
        <v>11.76</v>
      </c>
      <c r="M63" s="210">
        <v>-0.5</v>
      </c>
      <c r="N63" s="188">
        <v>0.151</v>
      </c>
      <c r="O63" s="211"/>
      <c r="P63" s="210"/>
      <c r="Q63" s="188"/>
      <c r="R63" s="189" t="str">
        <f t="shared" si="11"/>
        <v>II A</v>
      </c>
      <c r="S63" s="55" t="s">
        <v>834</v>
      </c>
      <c r="T63" s="212" t="s">
        <v>466</v>
      </c>
      <c r="U63" s="213"/>
      <c r="V63" s="6" t="s">
        <v>666</v>
      </c>
      <c r="W63" s="6" t="s">
        <v>637</v>
      </c>
    </row>
    <row r="64" spans="1:23" ht="15">
      <c r="A64" s="50">
        <v>6</v>
      </c>
      <c r="B64" s="51"/>
      <c r="C64" s="51" t="s">
        <v>835</v>
      </c>
      <c r="D64" s="52" t="s">
        <v>836</v>
      </c>
      <c r="E64" s="53" t="s">
        <v>837</v>
      </c>
      <c r="F64" s="208" t="s">
        <v>586</v>
      </c>
      <c r="G64" s="55" t="s">
        <v>83</v>
      </c>
      <c r="H64" s="55" t="s">
        <v>218</v>
      </c>
      <c r="I64" s="55" t="s">
        <v>84</v>
      </c>
      <c r="J64" s="55"/>
      <c r="K64" s="186">
        <f t="shared" si="10"/>
        <v>645</v>
      </c>
      <c r="L64" s="209">
        <v>11.88</v>
      </c>
      <c r="M64" s="210">
        <v>-0.5</v>
      </c>
      <c r="N64" s="188">
        <v>0.238</v>
      </c>
      <c r="O64" s="211"/>
      <c r="P64" s="210"/>
      <c r="Q64" s="188"/>
      <c r="R64" s="189" t="str">
        <f t="shared" si="11"/>
        <v>II A</v>
      </c>
      <c r="S64" s="55" t="s">
        <v>219</v>
      </c>
      <c r="T64" s="212" t="s">
        <v>838</v>
      </c>
      <c r="U64" s="213"/>
      <c r="V64" s="6" t="s">
        <v>666</v>
      </c>
      <c r="W64" s="6" t="s">
        <v>650</v>
      </c>
    </row>
    <row r="65" spans="1:23" ht="15">
      <c r="A65" s="50">
        <v>7</v>
      </c>
      <c r="B65" s="51"/>
      <c r="C65" s="51">
        <v>190</v>
      </c>
      <c r="D65" s="52" t="s">
        <v>839</v>
      </c>
      <c r="E65" s="53" t="s">
        <v>840</v>
      </c>
      <c r="F65" s="208" t="s">
        <v>841</v>
      </c>
      <c r="G65" s="55" t="s">
        <v>43</v>
      </c>
      <c r="H65" s="55" t="s">
        <v>148</v>
      </c>
      <c r="I65" s="55" t="s">
        <v>37</v>
      </c>
      <c r="J65" s="55"/>
      <c r="K65" s="186">
        <f t="shared" si="10"/>
        <v>565</v>
      </c>
      <c r="L65" s="209">
        <v>12.21</v>
      </c>
      <c r="M65" s="210">
        <v>-0.5</v>
      </c>
      <c r="N65" s="188" t="s">
        <v>300</v>
      </c>
      <c r="O65" s="211"/>
      <c r="P65" s="210"/>
      <c r="Q65" s="188"/>
      <c r="R65" s="189" t="str">
        <f t="shared" si="11"/>
        <v>III A</v>
      </c>
      <c r="S65" s="55" t="s">
        <v>552</v>
      </c>
      <c r="T65" s="212" t="s">
        <v>803</v>
      </c>
      <c r="U65" s="213"/>
      <c r="V65" s="6" t="s">
        <v>666</v>
      </c>
      <c r="W65" s="6" t="s">
        <v>678</v>
      </c>
    </row>
    <row r="66" spans="1:23" ht="15">
      <c r="A66" s="50">
        <v>8</v>
      </c>
      <c r="B66" s="51"/>
      <c r="C66" s="51" t="s">
        <v>842</v>
      </c>
      <c r="D66" s="52" t="s">
        <v>516</v>
      </c>
      <c r="E66" s="53" t="s">
        <v>843</v>
      </c>
      <c r="F66" s="208" t="s">
        <v>844</v>
      </c>
      <c r="G66" s="55" t="s">
        <v>22</v>
      </c>
      <c r="H66" s="55"/>
      <c r="I66" s="55"/>
      <c r="J66" s="55" t="s">
        <v>23</v>
      </c>
      <c r="K66" s="186">
        <f t="shared" si="10"/>
        <v>523</v>
      </c>
      <c r="L66" s="209">
        <v>12.39</v>
      </c>
      <c r="M66" s="210">
        <v>-0.5</v>
      </c>
      <c r="N66" s="188" t="s">
        <v>300</v>
      </c>
      <c r="O66" s="211"/>
      <c r="P66" s="210"/>
      <c r="Q66" s="188"/>
      <c r="R66" s="189" t="str">
        <f t="shared" si="11"/>
        <v>III A</v>
      </c>
      <c r="S66" s="55" t="s">
        <v>845</v>
      </c>
      <c r="T66" s="212" t="s">
        <v>466</v>
      </c>
      <c r="U66" s="213"/>
      <c r="V66" s="6" t="s">
        <v>666</v>
      </c>
      <c r="W66" s="6" t="s">
        <v>644</v>
      </c>
    </row>
    <row r="67" ht="12.75">
      <c r="V67" s="6"/>
    </row>
    <row r="68" ht="12.75">
      <c r="V68" s="6"/>
    </row>
    <row r="69" ht="12.75">
      <c r="V69" s="6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X55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5.140625" style="28" customWidth="1"/>
    <col min="2" max="2" width="3.00390625" style="28" customWidth="1"/>
    <col min="3" max="3" width="4.28125" style="28" hidden="1" customWidth="1"/>
    <col min="4" max="4" width="11.140625" style="23" customWidth="1"/>
    <col min="5" max="5" width="13.28125" style="24" customWidth="1"/>
    <col min="6" max="6" width="9.00390625" style="25" customWidth="1"/>
    <col min="7" max="7" width="10.140625" style="24" customWidth="1"/>
    <col min="8" max="8" width="6.57421875" style="24" customWidth="1"/>
    <col min="9" max="9" width="11.8515625" style="24" customWidth="1"/>
    <col min="10" max="10" width="5.140625" style="24" bestFit="1" customWidth="1"/>
    <col min="11" max="11" width="5.421875" style="6" customWidth="1"/>
    <col min="12" max="12" width="6.421875" style="26" customWidth="1"/>
    <col min="13" max="13" width="4.00390625" style="26" customWidth="1"/>
    <col min="14" max="14" width="4.7109375" style="26" customWidth="1"/>
    <col min="15" max="15" width="6.00390625" style="26" customWidth="1"/>
    <col min="16" max="16" width="4.00390625" style="26" customWidth="1"/>
    <col min="17" max="17" width="4.7109375" style="26" hidden="1" customWidth="1"/>
    <col min="18" max="18" width="4.421875" style="6" customWidth="1"/>
    <col min="19" max="19" width="26.140625" style="24" customWidth="1"/>
    <col min="20" max="20" width="6.8515625" style="174" hidden="1" customWidth="1"/>
    <col min="21" max="21" width="4.140625" style="10" hidden="1" customWidth="1"/>
    <col min="22" max="23" width="2.28125" style="24" hidden="1" customWidth="1"/>
    <col min="24" max="24" width="3.28125" style="24" hidden="1" customWidth="1"/>
    <col min="25" max="16384" width="9.140625" style="24" customWidth="1"/>
  </cols>
  <sheetData>
    <row r="1" spans="1:21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7"/>
      <c r="O1" s="7"/>
      <c r="P1" s="7"/>
      <c r="Q1" s="7"/>
      <c r="R1" s="6"/>
      <c r="T1" s="174"/>
      <c r="U1" s="10"/>
    </row>
    <row r="2" spans="1:21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7"/>
      <c r="O2" s="17"/>
      <c r="P2" s="17"/>
      <c r="Q2" s="17"/>
      <c r="R2" s="16"/>
      <c r="S2" s="18" t="s">
        <v>2</v>
      </c>
      <c r="T2" s="175"/>
      <c r="U2" s="21"/>
    </row>
    <row r="3" spans="1:19" ht="15" customHeight="1">
      <c r="A3" s="22"/>
      <c r="B3" s="22"/>
      <c r="C3" s="22"/>
      <c r="S3" s="27" t="s">
        <v>1236</v>
      </c>
    </row>
    <row r="4" spans="4:19" ht="15.75" customHeight="1">
      <c r="D4" s="29" t="s">
        <v>631</v>
      </c>
      <c r="F4" s="30"/>
      <c r="S4" s="31"/>
    </row>
    <row r="5" ht="3.75" customHeight="1"/>
    <row r="6" spans="3:8" ht="13.5" thickBot="1">
      <c r="C6" s="33"/>
      <c r="D6" s="34"/>
      <c r="E6" s="35"/>
      <c r="F6" s="36" t="s">
        <v>111</v>
      </c>
      <c r="G6" s="37"/>
      <c r="H6" s="38"/>
    </row>
    <row r="7" spans="1:21" s="185" customFormat="1" ht="13.5" thickBot="1">
      <c r="A7" s="177" t="s">
        <v>109</v>
      </c>
      <c r="B7" s="43" t="s">
        <v>17</v>
      </c>
      <c r="C7" s="178" t="s">
        <v>4</v>
      </c>
      <c r="D7" s="179" t="s">
        <v>5</v>
      </c>
      <c r="E7" s="180" t="s">
        <v>6</v>
      </c>
      <c r="F7" s="181" t="s">
        <v>7</v>
      </c>
      <c r="G7" s="160" t="s">
        <v>8</v>
      </c>
      <c r="H7" s="160" t="s">
        <v>9</v>
      </c>
      <c r="I7" s="160" t="s">
        <v>10</v>
      </c>
      <c r="J7" s="160" t="s">
        <v>11</v>
      </c>
      <c r="K7" s="181" t="s">
        <v>12</v>
      </c>
      <c r="L7" s="182" t="s">
        <v>632</v>
      </c>
      <c r="M7" s="160" t="s">
        <v>293</v>
      </c>
      <c r="N7" s="160" t="s">
        <v>294</v>
      </c>
      <c r="O7" s="160" t="s">
        <v>111</v>
      </c>
      <c r="P7" s="160" t="s">
        <v>293</v>
      </c>
      <c r="Q7" s="160" t="s">
        <v>294</v>
      </c>
      <c r="R7" s="183" t="s">
        <v>14</v>
      </c>
      <c r="S7" s="184" t="s">
        <v>15</v>
      </c>
      <c r="T7" s="175" t="s">
        <v>633</v>
      </c>
      <c r="U7" s="21">
        <v>2016</v>
      </c>
    </row>
    <row r="8" spans="1:23" ht="15">
      <c r="A8" s="50">
        <v>1</v>
      </c>
      <c r="B8" s="51">
        <v>1</v>
      </c>
      <c r="C8" s="51" t="s">
        <v>715</v>
      </c>
      <c r="D8" s="52" t="s">
        <v>716</v>
      </c>
      <c r="E8" s="53" t="s">
        <v>717</v>
      </c>
      <c r="F8" s="208" t="s">
        <v>718</v>
      </c>
      <c r="G8" s="55" t="s">
        <v>83</v>
      </c>
      <c r="H8" s="55"/>
      <c r="I8" s="55" t="s">
        <v>65</v>
      </c>
      <c r="J8" s="55" t="s">
        <v>163</v>
      </c>
      <c r="K8" s="186">
        <f aca="true" t="shared" si="0" ref="K8:K13">IF(ISBLANK(O8),"",TRUNC(24.63*(O8-17)^2))</f>
        <v>1043</v>
      </c>
      <c r="L8" s="217">
        <v>10.62</v>
      </c>
      <c r="M8" s="210">
        <v>-0.3</v>
      </c>
      <c r="N8" s="188">
        <v>0.143</v>
      </c>
      <c r="O8" s="218">
        <v>10.49</v>
      </c>
      <c r="P8" s="210">
        <v>-1.7</v>
      </c>
      <c r="Q8" s="188"/>
      <c r="R8" s="189" t="str">
        <f aca="true" t="shared" si="1" ref="R8:R15">IF(ISBLANK(L8),"",IF(L8&gt;12.64,"",IF(L8&lt;=10.28,"TSM",IF(L8&lt;=10.58,"SM",IF(L8&lt;=10.9,"KSM",IF(L8&lt;=11.34,"I A",IF(L8&lt;=11.94,"II A",IF(L8&lt;=12.64,"III A"))))))))</f>
        <v>KSM</v>
      </c>
      <c r="S8" s="55" t="s">
        <v>719</v>
      </c>
      <c r="T8" s="215" t="s">
        <v>720</v>
      </c>
      <c r="U8" s="213"/>
      <c r="V8" s="6" t="s">
        <v>650</v>
      </c>
      <c r="W8" s="6" t="s">
        <v>660</v>
      </c>
    </row>
    <row r="9" spans="1:23" ht="15">
      <c r="A9" s="50">
        <v>2</v>
      </c>
      <c r="B9" s="51"/>
      <c r="C9" s="51" t="s">
        <v>679</v>
      </c>
      <c r="D9" s="52" t="s">
        <v>504</v>
      </c>
      <c r="E9" s="53" t="s">
        <v>680</v>
      </c>
      <c r="F9" s="208" t="s">
        <v>681</v>
      </c>
      <c r="G9" s="55" t="s">
        <v>71</v>
      </c>
      <c r="H9" s="55"/>
      <c r="I9" s="55" t="s">
        <v>65</v>
      </c>
      <c r="J9" s="55"/>
      <c r="K9" s="186">
        <f t="shared" si="0"/>
        <v>980</v>
      </c>
      <c r="L9" s="217">
        <v>10.88</v>
      </c>
      <c r="M9" s="210">
        <v>-1</v>
      </c>
      <c r="N9" s="188">
        <v>0.179</v>
      </c>
      <c r="O9" s="218">
        <v>10.69</v>
      </c>
      <c r="P9" s="210">
        <v>-1.7</v>
      </c>
      <c r="Q9" s="188"/>
      <c r="R9" s="189" t="str">
        <f t="shared" si="1"/>
        <v>KSM</v>
      </c>
      <c r="S9" s="55" t="s">
        <v>682</v>
      </c>
      <c r="T9" s="215" t="s">
        <v>683</v>
      </c>
      <c r="U9" s="213"/>
      <c r="V9" s="6" t="s">
        <v>644</v>
      </c>
      <c r="W9" s="6" t="s">
        <v>660</v>
      </c>
    </row>
    <row r="10" spans="1:23" ht="15">
      <c r="A10" s="50">
        <v>3</v>
      </c>
      <c r="B10" s="51"/>
      <c r="C10" s="51" t="s">
        <v>743</v>
      </c>
      <c r="D10" s="52" t="s">
        <v>744</v>
      </c>
      <c r="E10" s="53" t="s">
        <v>745</v>
      </c>
      <c r="F10" s="208" t="s">
        <v>746</v>
      </c>
      <c r="G10" s="55" t="s">
        <v>71</v>
      </c>
      <c r="H10" s="55"/>
      <c r="I10" s="55" t="s">
        <v>65</v>
      </c>
      <c r="J10" s="55"/>
      <c r="K10" s="186">
        <f t="shared" si="0"/>
        <v>977</v>
      </c>
      <c r="L10" s="217">
        <v>10.71</v>
      </c>
      <c r="M10" s="210">
        <v>1.2</v>
      </c>
      <c r="N10" s="188">
        <v>0.115</v>
      </c>
      <c r="O10" s="218">
        <v>10.7</v>
      </c>
      <c r="P10" s="210">
        <v>-1.7</v>
      </c>
      <c r="Q10" s="188"/>
      <c r="R10" s="189" t="str">
        <f t="shared" si="1"/>
        <v>KSM</v>
      </c>
      <c r="S10" s="55" t="s">
        <v>682</v>
      </c>
      <c r="T10" s="212" t="s">
        <v>466</v>
      </c>
      <c r="U10" s="213">
        <v>10.44</v>
      </c>
      <c r="V10" s="6" t="s">
        <v>655</v>
      </c>
      <c r="W10" s="6" t="s">
        <v>660</v>
      </c>
    </row>
    <row r="11" spans="1:23" ht="15">
      <c r="A11" s="50">
        <v>4</v>
      </c>
      <c r="B11" s="51"/>
      <c r="C11" s="51">
        <v>81</v>
      </c>
      <c r="D11" s="52" t="s">
        <v>776</v>
      </c>
      <c r="E11" s="53" t="s">
        <v>777</v>
      </c>
      <c r="F11" s="208" t="s">
        <v>778</v>
      </c>
      <c r="G11" s="55" t="s">
        <v>132</v>
      </c>
      <c r="H11" s="55" t="s">
        <v>173</v>
      </c>
      <c r="I11" s="55" t="s">
        <v>172</v>
      </c>
      <c r="J11" s="55"/>
      <c r="K11" s="186">
        <f>IF(ISBLANK(L11),"",TRUNC(24.63*(L11-17)^2))</f>
        <v>949</v>
      </c>
      <c r="L11" s="209">
        <v>10.79</v>
      </c>
      <c r="M11" s="210">
        <v>1.6</v>
      </c>
      <c r="N11" s="188">
        <v>0.164</v>
      </c>
      <c r="O11" s="211">
        <v>10.83</v>
      </c>
      <c r="P11" s="210">
        <v>-1.7</v>
      </c>
      <c r="Q11" s="188"/>
      <c r="R11" s="189" t="str">
        <f t="shared" si="1"/>
        <v>KSM</v>
      </c>
      <c r="S11" s="55" t="s">
        <v>779</v>
      </c>
      <c r="T11" s="214" t="s">
        <v>780</v>
      </c>
      <c r="U11" s="213"/>
      <c r="V11" s="6" t="s">
        <v>660</v>
      </c>
      <c r="W11" s="6" t="s">
        <v>660</v>
      </c>
    </row>
    <row r="12" spans="1:23" ht="15">
      <c r="A12" s="50">
        <v>5</v>
      </c>
      <c r="B12" s="51">
        <v>2</v>
      </c>
      <c r="C12" s="51" t="s">
        <v>811</v>
      </c>
      <c r="D12" s="52" t="s">
        <v>651</v>
      </c>
      <c r="E12" s="53" t="s">
        <v>812</v>
      </c>
      <c r="F12" s="208" t="s">
        <v>813</v>
      </c>
      <c r="G12" s="55" t="s">
        <v>83</v>
      </c>
      <c r="H12" s="55"/>
      <c r="I12" s="55" t="s">
        <v>65</v>
      </c>
      <c r="J12" s="55" t="s">
        <v>287</v>
      </c>
      <c r="K12" s="186">
        <f t="shared" si="0"/>
        <v>913</v>
      </c>
      <c r="L12" s="217">
        <v>10.92</v>
      </c>
      <c r="M12" s="210">
        <v>-0.5</v>
      </c>
      <c r="N12" s="188">
        <v>0.153</v>
      </c>
      <c r="O12" s="218">
        <v>10.91</v>
      </c>
      <c r="P12" s="210">
        <v>-1.7</v>
      </c>
      <c r="Q12" s="188"/>
      <c r="R12" s="189" t="str">
        <f t="shared" si="1"/>
        <v>I A</v>
      </c>
      <c r="S12" s="55" t="s">
        <v>555</v>
      </c>
      <c r="T12" s="215" t="s">
        <v>814</v>
      </c>
      <c r="U12" s="213"/>
      <c r="V12" s="6" t="s">
        <v>666</v>
      </c>
      <c r="W12" s="6" t="s">
        <v>660</v>
      </c>
    </row>
    <row r="13" spans="1:24" ht="15">
      <c r="A13" s="50">
        <v>6</v>
      </c>
      <c r="B13" s="51">
        <v>3</v>
      </c>
      <c r="C13" s="51" t="s">
        <v>815</v>
      </c>
      <c r="D13" s="52" t="s">
        <v>592</v>
      </c>
      <c r="E13" s="53" t="s">
        <v>816</v>
      </c>
      <c r="F13" s="208" t="s">
        <v>817</v>
      </c>
      <c r="G13" s="55" t="s">
        <v>83</v>
      </c>
      <c r="H13" s="55"/>
      <c r="I13" s="55"/>
      <c r="J13" s="55" t="s">
        <v>85</v>
      </c>
      <c r="K13" s="186">
        <f t="shared" si="0"/>
        <v>907</v>
      </c>
      <c r="L13" s="217">
        <v>11.07</v>
      </c>
      <c r="M13" s="210">
        <v>-0.5</v>
      </c>
      <c r="N13" s="188" t="s">
        <v>300</v>
      </c>
      <c r="O13" s="218">
        <v>10.93</v>
      </c>
      <c r="P13" s="210">
        <v>-1.7</v>
      </c>
      <c r="Q13" s="188"/>
      <c r="R13" s="189" t="str">
        <f t="shared" si="1"/>
        <v>I A</v>
      </c>
      <c r="S13" s="55" t="s">
        <v>818</v>
      </c>
      <c r="T13" s="212" t="s">
        <v>819</v>
      </c>
      <c r="U13" s="213"/>
      <c r="V13" s="6" t="s">
        <v>666</v>
      </c>
      <c r="W13" s="6" t="s">
        <v>655</v>
      </c>
      <c r="X13" s="219" t="s">
        <v>820</v>
      </c>
    </row>
    <row r="14" spans="1:23" ht="15">
      <c r="A14" s="50">
        <v>7</v>
      </c>
      <c r="B14" s="51"/>
      <c r="C14" s="51">
        <v>98</v>
      </c>
      <c r="D14" s="52" t="s">
        <v>727</v>
      </c>
      <c r="E14" s="53" t="s">
        <v>728</v>
      </c>
      <c r="F14" s="208" t="s">
        <v>729</v>
      </c>
      <c r="G14" s="55" t="s">
        <v>71</v>
      </c>
      <c r="H14" s="55" t="s">
        <v>72</v>
      </c>
      <c r="I14" s="55" t="s">
        <v>189</v>
      </c>
      <c r="J14" s="55"/>
      <c r="K14" s="186">
        <f>IF(ISBLANK(L14),"",TRUNC(24.63*(L14-17)^2))</f>
        <v>874</v>
      </c>
      <c r="L14" s="209">
        <v>11.04</v>
      </c>
      <c r="M14" s="210">
        <v>-0.3</v>
      </c>
      <c r="N14" s="188">
        <v>0.152</v>
      </c>
      <c r="O14" s="211">
        <v>11.15</v>
      </c>
      <c r="P14" s="210">
        <v>-1.7</v>
      </c>
      <c r="Q14" s="188"/>
      <c r="R14" s="189" t="str">
        <f t="shared" si="1"/>
        <v>I A</v>
      </c>
      <c r="S14" s="55" t="s">
        <v>730</v>
      </c>
      <c r="T14" s="212" t="s">
        <v>466</v>
      </c>
      <c r="U14" s="213">
        <v>11.24</v>
      </c>
      <c r="V14" s="6" t="s">
        <v>650</v>
      </c>
      <c r="W14" s="6" t="s">
        <v>666</v>
      </c>
    </row>
    <row r="15" spans="1:23" ht="15.75" thickBot="1">
      <c r="A15" s="50">
        <v>8</v>
      </c>
      <c r="B15" s="51"/>
      <c r="C15" s="51" t="s">
        <v>721</v>
      </c>
      <c r="D15" s="52" t="s">
        <v>722</v>
      </c>
      <c r="E15" s="53" t="s">
        <v>723</v>
      </c>
      <c r="F15" s="208" t="s">
        <v>724</v>
      </c>
      <c r="G15" s="55" t="s">
        <v>546</v>
      </c>
      <c r="H15" s="55" t="s">
        <v>141</v>
      </c>
      <c r="I15" s="55"/>
      <c r="J15" s="55"/>
      <c r="K15" s="186">
        <f>IF(ISBLANK(L15),"",TRUNC(24.63*(L15-17)^2))</f>
        <v>877</v>
      </c>
      <c r="L15" s="209">
        <v>11.03</v>
      </c>
      <c r="M15" s="210">
        <v>-0.3</v>
      </c>
      <c r="N15" s="188">
        <v>0.18</v>
      </c>
      <c r="O15" s="211" t="s">
        <v>110</v>
      </c>
      <c r="P15" s="210"/>
      <c r="Q15" s="188"/>
      <c r="R15" s="189" t="str">
        <f t="shared" si="1"/>
        <v>I A</v>
      </c>
      <c r="S15" s="55" t="s">
        <v>725</v>
      </c>
      <c r="T15" s="212" t="s">
        <v>726</v>
      </c>
      <c r="U15" s="213"/>
      <c r="V15" s="6" t="s">
        <v>650</v>
      </c>
      <c r="W15" s="6" t="s">
        <v>650</v>
      </c>
    </row>
    <row r="16" spans="1:21" s="185" customFormat="1" ht="13.5" thickBot="1">
      <c r="A16" s="177" t="s">
        <v>109</v>
      </c>
      <c r="B16" s="43" t="s">
        <v>17</v>
      </c>
      <c r="C16" s="178" t="s">
        <v>4</v>
      </c>
      <c r="D16" s="179" t="s">
        <v>5</v>
      </c>
      <c r="E16" s="180" t="s">
        <v>6</v>
      </c>
      <c r="F16" s="181" t="s">
        <v>7</v>
      </c>
      <c r="G16" s="160" t="s">
        <v>8</v>
      </c>
      <c r="H16" s="160" t="s">
        <v>9</v>
      </c>
      <c r="I16" s="160" t="s">
        <v>10</v>
      </c>
      <c r="J16" s="160" t="s">
        <v>11</v>
      </c>
      <c r="K16" s="181" t="s">
        <v>12</v>
      </c>
      <c r="L16" s="182" t="s">
        <v>632</v>
      </c>
      <c r="M16" s="160" t="s">
        <v>293</v>
      </c>
      <c r="N16" s="160" t="s">
        <v>294</v>
      </c>
      <c r="O16" s="160"/>
      <c r="P16" s="160"/>
      <c r="Q16" s="160" t="s">
        <v>294</v>
      </c>
      <c r="R16" s="183" t="s">
        <v>14</v>
      </c>
      <c r="S16" s="184" t="s">
        <v>15</v>
      </c>
      <c r="T16" s="175" t="s">
        <v>633</v>
      </c>
      <c r="U16" s="21">
        <v>2016</v>
      </c>
    </row>
    <row r="17" spans="1:24" ht="15">
      <c r="A17" s="50">
        <v>9</v>
      </c>
      <c r="B17" s="51">
        <v>4</v>
      </c>
      <c r="C17" s="51">
        <v>94</v>
      </c>
      <c r="D17" s="52" t="s">
        <v>821</v>
      </c>
      <c r="E17" s="53" t="s">
        <v>822</v>
      </c>
      <c r="F17" s="208" t="s">
        <v>823</v>
      </c>
      <c r="G17" s="55" t="s">
        <v>824</v>
      </c>
      <c r="H17" s="55"/>
      <c r="I17" s="55" t="s">
        <v>189</v>
      </c>
      <c r="J17" s="55" t="s">
        <v>107</v>
      </c>
      <c r="K17" s="186">
        <f aca="true" t="shared" si="2" ref="K17:K50">IF(ISBLANK(L17),"",TRUNC(24.63*(L17-17)^2))</f>
        <v>866</v>
      </c>
      <c r="L17" s="209">
        <v>11.07</v>
      </c>
      <c r="M17" s="210">
        <v>-0.5</v>
      </c>
      <c r="N17" s="188">
        <v>0.192</v>
      </c>
      <c r="O17" s="211"/>
      <c r="P17" s="210"/>
      <c r="Q17" s="188"/>
      <c r="R17" s="189" t="str">
        <f aca="true" t="shared" si="3" ref="R17:R53">IF(ISBLANK(L17),"",IF(L17&gt;12.64,"",IF(L17&lt;=10.28,"TSM",IF(L17&lt;=10.58,"SM",IF(L17&lt;=10.9,"KSM",IF(L17&lt;=11.34,"I A",IF(L17&lt;=11.94,"II A",IF(L17&lt;=12.64,"III A"))))))))</f>
        <v>I A</v>
      </c>
      <c r="S17" s="55" t="s">
        <v>825</v>
      </c>
      <c r="T17" s="212" t="s">
        <v>466</v>
      </c>
      <c r="U17" s="213">
        <v>10.71</v>
      </c>
      <c r="V17" s="6" t="s">
        <v>666</v>
      </c>
      <c r="W17" s="6" t="s">
        <v>666</v>
      </c>
      <c r="X17" s="219" t="s">
        <v>826</v>
      </c>
    </row>
    <row r="18" spans="1:23" ht="15">
      <c r="A18" s="50">
        <v>10</v>
      </c>
      <c r="B18" s="51"/>
      <c r="C18" s="51">
        <v>185</v>
      </c>
      <c r="D18" s="52" t="s">
        <v>592</v>
      </c>
      <c r="E18" s="53" t="s">
        <v>684</v>
      </c>
      <c r="F18" s="54" t="s">
        <v>685</v>
      </c>
      <c r="G18" s="55" t="s">
        <v>43</v>
      </c>
      <c r="H18" s="55" t="s">
        <v>148</v>
      </c>
      <c r="I18" s="55" t="s">
        <v>320</v>
      </c>
      <c r="J18" s="55"/>
      <c r="K18" s="186">
        <f t="shared" si="2"/>
        <v>863</v>
      </c>
      <c r="L18" s="209">
        <v>11.08</v>
      </c>
      <c r="M18" s="210">
        <v>-1</v>
      </c>
      <c r="N18" s="188">
        <v>0.156</v>
      </c>
      <c r="O18" s="211"/>
      <c r="P18" s="210"/>
      <c r="Q18" s="188"/>
      <c r="R18" s="189" t="str">
        <f t="shared" si="3"/>
        <v>I A</v>
      </c>
      <c r="S18" s="55" t="s">
        <v>321</v>
      </c>
      <c r="T18" s="212"/>
      <c r="U18" s="213"/>
      <c r="V18" s="6"/>
      <c r="W18" s="6" t="s">
        <v>650</v>
      </c>
    </row>
    <row r="19" spans="1:23" ht="15">
      <c r="A19" s="50">
        <v>11</v>
      </c>
      <c r="B19" s="51">
        <v>5</v>
      </c>
      <c r="C19" s="51" t="s">
        <v>661</v>
      </c>
      <c r="D19" s="52" t="s">
        <v>524</v>
      </c>
      <c r="E19" s="53" t="s">
        <v>662</v>
      </c>
      <c r="F19" s="208" t="s">
        <v>663</v>
      </c>
      <c r="G19" s="55" t="s">
        <v>83</v>
      </c>
      <c r="H19" s="55" t="s">
        <v>237</v>
      </c>
      <c r="I19" s="55" t="s">
        <v>73</v>
      </c>
      <c r="J19" s="55" t="s">
        <v>287</v>
      </c>
      <c r="K19" s="186">
        <f t="shared" si="2"/>
        <v>860</v>
      </c>
      <c r="L19" s="209">
        <v>11.09</v>
      </c>
      <c r="M19" s="210">
        <v>1.5</v>
      </c>
      <c r="N19" s="188">
        <v>0.17</v>
      </c>
      <c r="O19" s="211"/>
      <c r="P19" s="210"/>
      <c r="Q19" s="188"/>
      <c r="R19" s="189" t="str">
        <f t="shared" si="3"/>
        <v>I A</v>
      </c>
      <c r="S19" s="55" t="s">
        <v>664</v>
      </c>
      <c r="T19" s="214" t="s">
        <v>665</v>
      </c>
      <c r="U19" s="213"/>
      <c r="V19" s="6" t="s">
        <v>637</v>
      </c>
      <c r="W19" s="6" t="s">
        <v>666</v>
      </c>
    </row>
    <row r="20" spans="1:23" ht="15">
      <c r="A20" s="50">
        <v>12</v>
      </c>
      <c r="B20" s="51">
        <v>6</v>
      </c>
      <c r="C20" s="51" t="s">
        <v>656</v>
      </c>
      <c r="D20" s="52" t="s">
        <v>651</v>
      </c>
      <c r="E20" s="53" t="s">
        <v>657</v>
      </c>
      <c r="F20" s="208" t="s">
        <v>658</v>
      </c>
      <c r="G20" s="55" t="s">
        <v>71</v>
      </c>
      <c r="H20" s="55" t="s">
        <v>72</v>
      </c>
      <c r="I20" s="55" t="s">
        <v>73</v>
      </c>
      <c r="J20" s="55" t="s">
        <v>107</v>
      </c>
      <c r="K20" s="186">
        <f t="shared" si="2"/>
        <v>845</v>
      </c>
      <c r="L20" s="209">
        <v>11.14</v>
      </c>
      <c r="M20" s="210">
        <v>1.5</v>
      </c>
      <c r="N20" s="188">
        <v>0.15</v>
      </c>
      <c r="O20" s="211"/>
      <c r="P20" s="210"/>
      <c r="Q20" s="188"/>
      <c r="R20" s="189" t="str">
        <f t="shared" si="3"/>
        <v>I A</v>
      </c>
      <c r="S20" s="55" t="s">
        <v>604</v>
      </c>
      <c r="T20" s="214" t="s">
        <v>659</v>
      </c>
      <c r="U20" s="213"/>
      <c r="V20" s="6" t="s">
        <v>637</v>
      </c>
      <c r="W20" s="6" t="s">
        <v>660</v>
      </c>
    </row>
    <row r="21" spans="1:23" ht="15">
      <c r="A21" s="50">
        <v>13</v>
      </c>
      <c r="B21" s="51">
        <v>7</v>
      </c>
      <c r="C21" s="51">
        <v>183</v>
      </c>
      <c r="D21" s="52" t="s">
        <v>463</v>
      </c>
      <c r="E21" s="53" t="s">
        <v>731</v>
      </c>
      <c r="F21" s="208" t="s">
        <v>732</v>
      </c>
      <c r="G21" s="55" t="s">
        <v>43</v>
      </c>
      <c r="H21" s="55" t="s">
        <v>148</v>
      </c>
      <c r="I21" s="55" t="s">
        <v>688</v>
      </c>
      <c r="J21" s="55" t="s">
        <v>147</v>
      </c>
      <c r="K21" s="186">
        <f t="shared" si="2"/>
        <v>828</v>
      </c>
      <c r="L21" s="209">
        <v>11.2</v>
      </c>
      <c r="M21" s="210">
        <v>-0.3</v>
      </c>
      <c r="N21" s="188" t="s">
        <v>300</v>
      </c>
      <c r="O21" s="211"/>
      <c r="P21" s="210"/>
      <c r="Q21" s="188"/>
      <c r="R21" s="189" t="str">
        <f t="shared" si="3"/>
        <v>I A</v>
      </c>
      <c r="S21" s="55" t="s">
        <v>733</v>
      </c>
      <c r="T21" s="212" t="s">
        <v>734</v>
      </c>
      <c r="U21" s="213"/>
      <c r="V21" s="6" t="s">
        <v>650</v>
      </c>
      <c r="W21" s="6" t="s">
        <v>655</v>
      </c>
    </row>
    <row r="22" spans="1:23" ht="15">
      <c r="A22" s="50">
        <v>14</v>
      </c>
      <c r="B22" s="51">
        <v>8</v>
      </c>
      <c r="C22" s="51">
        <v>75</v>
      </c>
      <c r="D22" s="52" t="s">
        <v>747</v>
      </c>
      <c r="E22" s="53" t="s">
        <v>748</v>
      </c>
      <c r="F22" s="208" t="s">
        <v>749</v>
      </c>
      <c r="G22" s="55" t="s">
        <v>132</v>
      </c>
      <c r="H22" s="55"/>
      <c r="I22" s="55" t="s">
        <v>172</v>
      </c>
      <c r="J22" s="55" t="s">
        <v>171</v>
      </c>
      <c r="K22" s="186">
        <f t="shared" si="2"/>
        <v>825</v>
      </c>
      <c r="L22" s="209">
        <v>11.21</v>
      </c>
      <c r="M22" s="210">
        <v>1.2</v>
      </c>
      <c r="N22" s="188">
        <v>0.164</v>
      </c>
      <c r="O22" s="211"/>
      <c r="P22" s="210"/>
      <c r="Q22" s="188"/>
      <c r="R22" s="189" t="str">
        <f t="shared" si="3"/>
        <v>I A</v>
      </c>
      <c r="S22" s="55" t="s">
        <v>750</v>
      </c>
      <c r="T22" s="215" t="s">
        <v>751</v>
      </c>
      <c r="U22" s="213"/>
      <c r="V22" s="6" t="s">
        <v>655</v>
      </c>
      <c r="W22" s="6" t="s">
        <v>666</v>
      </c>
    </row>
    <row r="23" spans="1:23" ht="15">
      <c r="A23" s="50">
        <v>15</v>
      </c>
      <c r="B23" s="51">
        <v>9</v>
      </c>
      <c r="C23" s="51" t="s">
        <v>638</v>
      </c>
      <c r="D23" s="52" t="s">
        <v>639</v>
      </c>
      <c r="E23" s="53" t="s">
        <v>640</v>
      </c>
      <c r="F23" s="208" t="s">
        <v>641</v>
      </c>
      <c r="G23" s="55" t="s">
        <v>83</v>
      </c>
      <c r="H23" s="55" t="s">
        <v>642</v>
      </c>
      <c r="I23" s="55" t="s">
        <v>185</v>
      </c>
      <c r="J23" s="55" t="s">
        <v>287</v>
      </c>
      <c r="K23" s="186">
        <f t="shared" si="2"/>
        <v>820</v>
      </c>
      <c r="L23" s="209">
        <v>11.23</v>
      </c>
      <c r="M23" s="210">
        <v>1.5</v>
      </c>
      <c r="N23" s="188">
        <v>0.179</v>
      </c>
      <c r="O23" s="211"/>
      <c r="P23" s="210"/>
      <c r="Q23" s="188"/>
      <c r="R23" s="189" t="str">
        <f t="shared" si="3"/>
        <v>I A</v>
      </c>
      <c r="S23" s="55" t="s">
        <v>643</v>
      </c>
      <c r="T23" s="212" t="s">
        <v>466</v>
      </c>
      <c r="U23" s="213"/>
      <c r="V23" s="6" t="s">
        <v>637</v>
      </c>
      <c r="W23" s="6" t="s">
        <v>644</v>
      </c>
    </row>
    <row r="24" spans="1:23" ht="15">
      <c r="A24" s="50">
        <v>16</v>
      </c>
      <c r="B24" s="51">
        <v>10</v>
      </c>
      <c r="C24" s="51" t="s">
        <v>645</v>
      </c>
      <c r="D24" s="52" t="s">
        <v>646</v>
      </c>
      <c r="E24" s="53" t="s">
        <v>647</v>
      </c>
      <c r="F24" s="208" t="s">
        <v>648</v>
      </c>
      <c r="G24" s="55" t="s">
        <v>22</v>
      </c>
      <c r="H24" s="55"/>
      <c r="I24" s="55" t="s">
        <v>45</v>
      </c>
      <c r="J24" s="55" t="s">
        <v>107</v>
      </c>
      <c r="K24" s="186">
        <f t="shared" si="2"/>
        <v>811</v>
      </c>
      <c r="L24" s="209">
        <v>11.26</v>
      </c>
      <c r="M24" s="210">
        <v>1.5</v>
      </c>
      <c r="N24" s="188">
        <v>0.161</v>
      </c>
      <c r="O24" s="211"/>
      <c r="P24" s="210"/>
      <c r="Q24" s="188"/>
      <c r="R24" s="189" t="str">
        <f t="shared" si="3"/>
        <v>I A</v>
      </c>
      <c r="S24" s="55" t="s">
        <v>402</v>
      </c>
      <c r="T24" s="212" t="s">
        <v>649</v>
      </c>
      <c r="U24" s="213"/>
      <c r="V24" s="6" t="s">
        <v>637</v>
      </c>
      <c r="W24" s="6" t="s">
        <v>650</v>
      </c>
    </row>
    <row r="25" spans="1:23" ht="15">
      <c r="A25" s="50">
        <v>17</v>
      </c>
      <c r="B25" s="51"/>
      <c r="C25" s="51">
        <v>184</v>
      </c>
      <c r="D25" s="52" t="s">
        <v>92</v>
      </c>
      <c r="E25" s="53" t="s">
        <v>686</v>
      </c>
      <c r="F25" s="208" t="s">
        <v>687</v>
      </c>
      <c r="G25" s="55" t="s">
        <v>43</v>
      </c>
      <c r="H25" s="55" t="s">
        <v>148</v>
      </c>
      <c r="I25" s="55" t="s">
        <v>688</v>
      </c>
      <c r="J25" s="55"/>
      <c r="K25" s="186">
        <f t="shared" si="2"/>
        <v>786</v>
      </c>
      <c r="L25" s="209">
        <v>11.35</v>
      </c>
      <c r="M25" s="210">
        <v>-1</v>
      </c>
      <c r="N25" s="188" t="s">
        <v>300</v>
      </c>
      <c r="O25" s="211"/>
      <c r="P25" s="210"/>
      <c r="Q25" s="188"/>
      <c r="R25" s="189" t="str">
        <f t="shared" si="3"/>
        <v>II A</v>
      </c>
      <c r="S25" s="55" t="s">
        <v>689</v>
      </c>
      <c r="T25" s="212" t="s">
        <v>690</v>
      </c>
      <c r="U25" s="213"/>
      <c r="V25" s="6" t="s">
        <v>644</v>
      </c>
      <c r="W25" s="6" t="s">
        <v>655</v>
      </c>
    </row>
    <row r="26" spans="1:23" ht="15">
      <c r="A26" s="50">
        <v>18</v>
      </c>
      <c r="B26" s="51">
        <v>11</v>
      </c>
      <c r="C26" s="51">
        <v>68</v>
      </c>
      <c r="D26" s="52" t="s">
        <v>752</v>
      </c>
      <c r="E26" s="53" t="s">
        <v>753</v>
      </c>
      <c r="F26" s="208" t="s">
        <v>754</v>
      </c>
      <c r="G26" s="55" t="s">
        <v>83</v>
      </c>
      <c r="H26" s="55"/>
      <c r="I26" s="55"/>
      <c r="J26" s="55" t="s">
        <v>102</v>
      </c>
      <c r="K26" s="186">
        <f t="shared" si="2"/>
        <v>775</v>
      </c>
      <c r="L26" s="209">
        <v>11.39</v>
      </c>
      <c r="M26" s="210">
        <v>1.2</v>
      </c>
      <c r="N26" s="188" t="s">
        <v>300</v>
      </c>
      <c r="O26" s="211"/>
      <c r="P26" s="210"/>
      <c r="Q26" s="188"/>
      <c r="R26" s="189" t="str">
        <f t="shared" si="3"/>
        <v>II A</v>
      </c>
      <c r="S26" s="55" t="s">
        <v>755</v>
      </c>
      <c r="T26" s="212" t="s">
        <v>756</v>
      </c>
      <c r="U26" s="213"/>
      <c r="V26" s="6" t="s">
        <v>655</v>
      </c>
      <c r="W26" s="6" t="s">
        <v>655</v>
      </c>
    </row>
    <row r="27" spans="1:23" ht="15">
      <c r="A27" s="50">
        <v>19</v>
      </c>
      <c r="B27" s="51"/>
      <c r="C27" s="51" t="s">
        <v>691</v>
      </c>
      <c r="D27" s="52" t="s">
        <v>692</v>
      </c>
      <c r="E27" s="53" t="s">
        <v>693</v>
      </c>
      <c r="F27" s="208" t="s">
        <v>694</v>
      </c>
      <c r="G27" s="55" t="s">
        <v>695</v>
      </c>
      <c r="H27" s="55"/>
      <c r="I27" s="55" t="s">
        <v>45</v>
      </c>
      <c r="J27" s="55"/>
      <c r="K27" s="186">
        <f t="shared" si="2"/>
        <v>758</v>
      </c>
      <c r="L27" s="209">
        <v>11.45</v>
      </c>
      <c r="M27" s="210">
        <v>-1</v>
      </c>
      <c r="N27" s="188">
        <v>0.16</v>
      </c>
      <c r="O27" s="211"/>
      <c r="P27" s="210"/>
      <c r="Q27" s="188"/>
      <c r="R27" s="189" t="str">
        <f t="shared" si="3"/>
        <v>II A</v>
      </c>
      <c r="S27" s="55" t="s">
        <v>555</v>
      </c>
      <c r="T27" s="212" t="s">
        <v>696</v>
      </c>
      <c r="U27" s="213"/>
      <c r="V27" s="6" t="s">
        <v>644</v>
      </c>
      <c r="W27" s="6" t="s">
        <v>666</v>
      </c>
    </row>
    <row r="28" spans="1:23" ht="15">
      <c r="A28" s="50">
        <v>20</v>
      </c>
      <c r="B28" s="51"/>
      <c r="C28" s="51">
        <v>62</v>
      </c>
      <c r="D28" s="52" t="s">
        <v>539</v>
      </c>
      <c r="E28" s="53" t="s">
        <v>781</v>
      </c>
      <c r="F28" s="208" t="s">
        <v>782</v>
      </c>
      <c r="G28" s="55" t="s">
        <v>783</v>
      </c>
      <c r="H28" s="55" t="s">
        <v>337</v>
      </c>
      <c r="I28" s="55"/>
      <c r="J28" s="55"/>
      <c r="K28" s="186">
        <f t="shared" si="2"/>
        <v>750</v>
      </c>
      <c r="L28" s="209">
        <v>11.48</v>
      </c>
      <c r="M28" s="210">
        <v>1.6</v>
      </c>
      <c r="N28" s="188">
        <v>0.186</v>
      </c>
      <c r="O28" s="211"/>
      <c r="P28" s="210"/>
      <c r="Q28" s="188"/>
      <c r="R28" s="189" t="str">
        <f t="shared" si="3"/>
        <v>II A</v>
      </c>
      <c r="S28" s="55" t="s">
        <v>784</v>
      </c>
      <c r="T28" s="212" t="s">
        <v>785</v>
      </c>
      <c r="U28" s="213"/>
      <c r="V28" s="6" t="s">
        <v>660</v>
      </c>
      <c r="W28" s="6" t="s">
        <v>650</v>
      </c>
    </row>
    <row r="29" spans="1:23" ht="15">
      <c r="A29" s="50">
        <v>21</v>
      </c>
      <c r="B29" s="51">
        <v>12</v>
      </c>
      <c r="C29" s="51">
        <v>69</v>
      </c>
      <c r="D29" s="52" t="s">
        <v>92</v>
      </c>
      <c r="E29" s="53" t="s">
        <v>757</v>
      </c>
      <c r="F29" s="208" t="s">
        <v>758</v>
      </c>
      <c r="G29" s="55" t="s">
        <v>83</v>
      </c>
      <c r="H29" s="55"/>
      <c r="I29" s="55"/>
      <c r="J29" s="55" t="s">
        <v>102</v>
      </c>
      <c r="K29" s="186">
        <f t="shared" si="2"/>
        <v>726</v>
      </c>
      <c r="L29" s="209">
        <v>11.57</v>
      </c>
      <c r="M29" s="210">
        <v>1.2</v>
      </c>
      <c r="N29" s="188">
        <v>0.173</v>
      </c>
      <c r="O29" s="211"/>
      <c r="P29" s="210"/>
      <c r="Q29" s="188"/>
      <c r="R29" s="189" t="str">
        <f t="shared" si="3"/>
        <v>II A</v>
      </c>
      <c r="S29" s="55" t="s">
        <v>755</v>
      </c>
      <c r="T29" s="212" t="s">
        <v>759</v>
      </c>
      <c r="U29" s="213"/>
      <c r="V29" s="6" t="s">
        <v>655</v>
      </c>
      <c r="W29" s="6" t="s">
        <v>650</v>
      </c>
    </row>
    <row r="30" spans="1:23" ht="15">
      <c r="A30" s="50">
        <v>22</v>
      </c>
      <c r="B30" s="51"/>
      <c r="C30" s="51" t="s">
        <v>786</v>
      </c>
      <c r="D30" s="52" t="s">
        <v>787</v>
      </c>
      <c r="E30" s="53" t="s">
        <v>652</v>
      </c>
      <c r="F30" s="208" t="s">
        <v>497</v>
      </c>
      <c r="G30" s="55" t="s">
        <v>527</v>
      </c>
      <c r="H30" s="55" t="s">
        <v>528</v>
      </c>
      <c r="I30" s="55" t="s">
        <v>37</v>
      </c>
      <c r="J30" s="55"/>
      <c r="K30" s="186">
        <f t="shared" si="2"/>
        <v>689</v>
      </c>
      <c r="L30" s="209">
        <v>11.71</v>
      </c>
      <c r="M30" s="210">
        <v>1.6</v>
      </c>
      <c r="N30" s="188" t="s">
        <v>300</v>
      </c>
      <c r="O30" s="211"/>
      <c r="P30" s="210"/>
      <c r="Q30" s="188"/>
      <c r="R30" s="189" t="str">
        <f t="shared" si="3"/>
        <v>II A</v>
      </c>
      <c r="S30" s="55" t="s">
        <v>529</v>
      </c>
      <c r="T30" s="212" t="s">
        <v>654</v>
      </c>
      <c r="U30" s="213"/>
      <c r="V30" s="6" t="s">
        <v>660</v>
      </c>
      <c r="W30" s="6" t="s">
        <v>655</v>
      </c>
    </row>
    <row r="31" spans="1:23" ht="15">
      <c r="A31" s="50">
        <v>23</v>
      </c>
      <c r="B31" s="51"/>
      <c r="C31" s="51" t="s">
        <v>788</v>
      </c>
      <c r="D31" s="52" t="s">
        <v>789</v>
      </c>
      <c r="E31" s="53" t="s">
        <v>790</v>
      </c>
      <c r="F31" s="208" t="s">
        <v>791</v>
      </c>
      <c r="G31" s="55" t="s">
        <v>792</v>
      </c>
      <c r="H31" s="55"/>
      <c r="I31" s="55"/>
      <c r="J31" s="55"/>
      <c r="K31" s="186">
        <f t="shared" si="2"/>
        <v>686</v>
      </c>
      <c r="L31" s="209">
        <v>11.72</v>
      </c>
      <c r="M31" s="210">
        <v>1.6</v>
      </c>
      <c r="N31" s="188">
        <v>0.197</v>
      </c>
      <c r="O31" s="211"/>
      <c r="P31" s="210"/>
      <c r="Q31" s="188"/>
      <c r="R31" s="189" t="str">
        <f t="shared" si="3"/>
        <v>II A</v>
      </c>
      <c r="S31" s="55" t="s">
        <v>793</v>
      </c>
      <c r="T31" s="212" t="s">
        <v>794</v>
      </c>
      <c r="U31" s="213"/>
      <c r="V31" s="6" t="s">
        <v>660</v>
      </c>
      <c r="W31" s="6" t="s">
        <v>671</v>
      </c>
    </row>
    <row r="32" spans="1:23" ht="15">
      <c r="A32" s="50">
        <v>24</v>
      </c>
      <c r="B32" s="51"/>
      <c r="C32" s="51">
        <v>177</v>
      </c>
      <c r="D32" s="52" t="s">
        <v>827</v>
      </c>
      <c r="E32" s="53" t="s">
        <v>828</v>
      </c>
      <c r="F32" s="208" t="s">
        <v>829</v>
      </c>
      <c r="G32" s="55" t="s">
        <v>498</v>
      </c>
      <c r="H32" s="55" t="s">
        <v>528</v>
      </c>
      <c r="I32" s="55"/>
      <c r="J32" s="55"/>
      <c r="K32" s="186">
        <f t="shared" si="2"/>
        <v>684</v>
      </c>
      <c r="L32" s="209">
        <v>11.73</v>
      </c>
      <c r="M32" s="210">
        <v>-0.5</v>
      </c>
      <c r="N32" s="188">
        <v>0.187</v>
      </c>
      <c r="O32" s="211"/>
      <c r="P32" s="210"/>
      <c r="Q32" s="188"/>
      <c r="R32" s="189" t="str">
        <f t="shared" si="3"/>
        <v>II A</v>
      </c>
      <c r="S32" s="55" t="s">
        <v>542</v>
      </c>
      <c r="T32" s="212" t="s">
        <v>830</v>
      </c>
      <c r="U32" s="213"/>
      <c r="V32" s="6" t="s">
        <v>666</v>
      </c>
      <c r="W32" s="6" t="s">
        <v>671</v>
      </c>
    </row>
    <row r="33" spans="1:23" ht="15">
      <c r="A33" s="50">
        <v>25</v>
      </c>
      <c r="B33" s="51">
        <v>13</v>
      </c>
      <c r="C33" s="51" t="s">
        <v>760</v>
      </c>
      <c r="D33" s="52" t="s">
        <v>761</v>
      </c>
      <c r="E33" s="53" t="s">
        <v>762</v>
      </c>
      <c r="F33" s="208" t="s">
        <v>319</v>
      </c>
      <c r="G33" s="55" t="s">
        <v>22</v>
      </c>
      <c r="H33" s="55" t="s">
        <v>72</v>
      </c>
      <c r="I33" s="55" t="s">
        <v>763</v>
      </c>
      <c r="J33" s="55" t="s">
        <v>107</v>
      </c>
      <c r="K33" s="186">
        <f t="shared" si="2"/>
        <v>678</v>
      </c>
      <c r="L33" s="209">
        <v>11.75</v>
      </c>
      <c r="M33" s="210">
        <v>1.2</v>
      </c>
      <c r="N33" s="188">
        <v>0.209</v>
      </c>
      <c r="O33" s="211"/>
      <c r="P33" s="210"/>
      <c r="Q33" s="188"/>
      <c r="R33" s="189" t="str">
        <f t="shared" si="3"/>
        <v>II A</v>
      </c>
      <c r="S33" s="55" t="s">
        <v>764</v>
      </c>
      <c r="T33" s="212" t="s">
        <v>765</v>
      </c>
      <c r="U33" s="213"/>
      <c r="V33" s="6" t="s">
        <v>655</v>
      </c>
      <c r="W33" s="6" t="s">
        <v>671</v>
      </c>
    </row>
    <row r="34" spans="1:23" ht="15">
      <c r="A34" s="50">
        <v>26</v>
      </c>
      <c r="B34" s="51">
        <v>14</v>
      </c>
      <c r="C34" s="51" t="s">
        <v>831</v>
      </c>
      <c r="D34" s="52" t="s">
        <v>516</v>
      </c>
      <c r="E34" s="53" t="s">
        <v>832</v>
      </c>
      <c r="F34" s="208" t="s">
        <v>833</v>
      </c>
      <c r="G34" s="55" t="s">
        <v>22</v>
      </c>
      <c r="H34" s="55"/>
      <c r="I34" s="55"/>
      <c r="J34" s="55" t="s">
        <v>23</v>
      </c>
      <c r="K34" s="186">
        <f t="shared" si="2"/>
        <v>676</v>
      </c>
      <c r="L34" s="209">
        <v>11.76</v>
      </c>
      <c r="M34" s="210">
        <v>-0.5</v>
      </c>
      <c r="N34" s="188">
        <v>0.151</v>
      </c>
      <c r="O34" s="211"/>
      <c r="P34" s="210"/>
      <c r="Q34" s="188"/>
      <c r="R34" s="189" t="str">
        <f t="shared" si="3"/>
        <v>II A</v>
      </c>
      <c r="S34" s="55" t="s">
        <v>834</v>
      </c>
      <c r="T34" s="212" t="s">
        <v>466</v>
      </c>
      <c r="U34" s="213"/>
      <c r="V34" s="6" t="s">
        <v>666</v>
      </c>
      <c r="W34" s="6" t="s">
        <v>637</v>
      </c>
    </row>
    <row r="35" spans="1:23" ht="15">
      <c r="A35" s="50">
        <v>27</v>
      </c>
      <c r="B35" s="51"/>
      <c r="C35" s="51" t="s">
        <v>667</v>
      </c>
      <c r="D35" s="52" t="s">
        <v>257</v>
      </c>
      <c r="E35" s="53" t="s">
        <v>668</v>
      </c>
      <c r="F35" s="208" t="s">
        <v>669</v>
      </c>
      <c r="G35" s="55" t="s">
        <v>22</v>
      </c>
      <c r="H35" s="55" t="s">
        <v>72</v>
      </c>
      <c r="I35" s="55" t="s">
        <v>356</v>
      </c>
      <c r="J35" s="55"/>
      <c r="K35" s="186">
        <f t="shared" si="2"/>
        <v>673</v>
      </c>
      <c r="L35" s="209">
        <v>11.77</v>
      </c>
      <c r="M35" s="210">
        <v>1.5</v>
      </c>
      <c r="N35" s="188">
        <v>0.171</v>
      </c>
      <c r="O35" s="211"/>
      <c r="P35" s="210"/>
      <c r="Q35" s="188"/>
      <c r="R35" s="189" t="str">
        <f t="shared" si="3"/>
        <v>II A</v>
      </c>
      <c r="S35" s="55" t="s">
        <v>604</v>
      </c>
      <c r="T35" s="212" t="s">
        <v>670</v>
      </c>
      <c r="U35" s="213"/>
      <c r="V35" s="6" t="s">
        <v>637</v>
      </c>
      <c r="W35" s="6" t="s">
        <v>671</v>
      </c>
    </row>
    <row r="36" spans="1:23" ht="15">
      <c r="A36" s="50">
        <v>27</v>
      </c>
      <c r="B36" s="51"/>
      <c r="C36" s="51" t="s">
        <v>795</v>
      </c>
      <c r="D36" s="52" t="s">
        <v>549</v>
      </c>
      <c r="E36" s="53" t="s">
        <v>796</v>
      </c>
      <c r="F36" s="208" t="s">
        <v>797</v>
      </c>
      <c r="G36" s="55" t="s">
        <v>50</v>
      </c>
      <c r="H36" s="55" t="s">
        <v>51</v>
      </c>
      <c r="I36" s="55" t="s">
        <v>52</v>
      </c>
      <c r="J36" s="55"/>
      <c r="K36" s="186">
        <f t="shared" si="2"/>
        <v>673</v>
      </c>
      <c r="L36" s="209">
        <v>11.77</v>
      </c>
      <c r="M36" s="210">
        <v>1.6</v>
      </c>
      <c r="N36" s="188">
        <v>0.189</v>
      </c>
      <c r="O36" s="211"/>
      <c r="P36" s="210"/>
      <c r="Q36" s="188"/>
      <c r="R36" s="189" t="str">
        <f t="shared" si="3"/>
        <v>II A</v>
      </c>
      <c r="S36" s="55" t="s">
        <v>798</v>
      </c>
      <c r="T36" s="212" t="s">
        <v>466</v>
      </c>
      <c r="U36" s="213"/>
      <c r="V36" s="6" t="s">
        <v>660</v>
      </c>
      <c r="W36" s="6" t="s">
        <v>644</v>
      </c>
    </row>
    <row r="37" spans="1:23" ht="15">
      <c r="A37" s="50">
        <v>29</v>
      </c>
      <c r="B37" s="51"/>
      <c r="C37" s="51" t="s">
        <v>835</v>
      </c>
      <c r="D37" s="52" t="s">
        <v>836</v>
      </c>
      <c r="E37" s="53" t="s">
        <v>837</v>
      </c>
      <c r="F37" s="208" t="s">
        <v>586</v>
      </c>
      <c r="G37" s="55" t="s">
        <v>83</v>
      </c>
      <c r="H37" s="55" t="s">
        <v>218</v>
      </c>
      <c r="I37" s="55" t="s">
        <v>84</v>
      </c>
      <c r="J37" s="55"/>
      <c r="K37" s="186">
        <f t="shared" si="2"/>
        <v>645</v>
      </c>
      <c r="L37" s="209">
        <v>11.88</v>
      </c>
      <c r="M37" s="210">
        <v>-0.5</v>
      </c>
      <c r="N37" s="188">
        <v>0.238</v>
      </c>
      <c r="O37" s="211"/>
      <c r="P37" s="210"/>
      <c r="Q37" s="188"/>
      <c r="R37" s="189" t="str">
        <f t="shared" si="3"/>
        <v>II A</v>
      </c>
      <c r="S37" s="55" t="s">
        <v>219</v>
      </c>
      <c r="T37" s="212" t="s">
        <v>838</v>
      </c>
      <c r="U37" s="213"/>
      <c r="V37" s="6" t="s">
        <v>666</v>
      </c>
      <c r="W37" s="6" t="s">
        <v>650</v>
      </c>
    </row>
    <row r="38" spans="1:23" ht="15">
      <c r="A38" s="50">
        <v>30</v>
      </c>
      <c r="B38" s="51"/>
      <c r="C38" s="51" t="s">
        <v>697</v>
      </c>
      <c r="D38" s="52" t="s">
        <v>698</v>
      </c>
      <c r="E38" s="53" t="s">
        <v>699</v>
      </c>
      <c r="F38" s="208" t="s">
        <v>700</v>
      </c>
      <c r="G38" s="55" t="s">
        <v>132</v>
      </c>
      <c r="H38" s="55" t="s">
        <v>701</v>
      </c>
      <c r="I38" s="55" t="s">
        <v>702</v>
      </c>
      <c r="J38" s="55"/>
      <c r="K38" s="186">
        <f t="shared" si="2"/>
        <v>628</v>
      </c>
      <c r="L38" s="209">
        <v>11.95</v>
      </c>
      <c r="M38" s="210">
        <v>-1</v>
      </c>
      <c r="N38" s="188" t="s">
        <v>300</v>
      </c>
      <c r="O38" s="211"/>
      <c r="P38" s="210"/>
      <c r="Q38" s="188"/>
      <c r="R38" s="189" t="str">
        <f t="shared" si="3"/>
        <v>III A</v>
      </c>
      <c r="S38" s="55" t="s">
        <v>703</v>
      </c>
      <c r="T38" s="212" t="s">
        <v>704</v>
      </c>
      <c r="U38" s="213"/>
      <c r="V38" s="6" t="s">
        <v>644</v>
      </c>
      <c r="W38" s="6" t="s">
        <v>671</v>
      </c>
    </row>
    <row r="39" spans="1:23" ht="15">
      <c r="A39" s="50">
        <v>31</v>
      </c>
      <c r="B39" s="51">
        <v>15</v>
      </c>
      <c r="C39" s="51">
        <v>198</v>
      </c>
      <c r="D39" s="52" t="s">
        <v>634</v>
      </c>
      <c r="E39" s="53" t="s">
        <v>635</v>
      </c>
      <c r="F39" s="208" t="s">
        <v>636</v>
      </c>
      <c r="G39" s="55" t="s">
        <v>22</v>
      </c>
      <c r="H39" s="55"/>
      <c r="I39" s="55"/>
      <c r="J39" s="55" t="s">
        <v>107</v>
      </c>
      <c r="K39" s="186">
        <f t="shared" si="2"/>
        <v>625</v>
      </c>
      <c r="L39" s="209">
        <v>11.96</v>
      </c>
      <c r="M39" s="210">
        <v>1.5</v>
      </c>
      <c r="N39" s="188">
        <v>0.209</v>
      </c>
      <c r="O39" s="211"/>
      <c r="P39" s="210"/>
      <c r="Q39" s="188"/>
      <c r="R39" s="189" t="str">
        <f t="shared" si="3"/>
        <v>III A</v>
      </c>
      <c r="S39" s="55" t="s">
        <v>108</v>
      </c>
      <c r="T39" s="212" t="s">
        <v>466</v>
      </c>
      <c r="U39" s="213"/>
      <c r="V39" s="6" t="s">
        <v>637</v>
      </c>
      <c r="W39" s="6" t="s">
        <v>637</v>
      </c>
    </row>
    <row r="40" spans="1:23" ht="15">
      <c r="A40" s="50">
        <v>32</v>
      </c>
      <c r="B40" s="51"/>
      <c r="C40" s="51" t="s">
        <v>766</v>
      </c>
      <c r="D40" s="52" t="s">
        <v>767</v>
      </c>
      <c r="E40" s="53" t="s">
        <v>768</v>
      </c>
      <c r="F40" s="208" t="s">
        <v>769</v>
      </c>
      <c r="G40" s="55" t="s">
        <v>22</v>
      </c>
      <c r="H40" s="55" t="s">
        <v>72</v>
      </c>
      <c r="I40" s="55" t="s">
        <v>770</v>
      </c>
      <c r="J40" s="55"/>
      <c r="K40" s="186">
        <f t="shared" si="2"/>
        <v>613</v>
      </c>
      <c r="L40" s="209">
        <v>12.01</v>
      </c>
      <c r="M40" s="210">
        <v>1.2</v>
      </c>
      <c r="N40" s="188">
        <v>0.209</v>
      </c>
      <c r="O40" s="211"/>
      <c r="P40" s="210"/>
      <c r="Q40" s="188"/>
      <c r="R40" s="189" t="str">
        <f t="shared" si="3"/>
        <v>III A</v>
      </c>
      <c r="S40" s="55" t="s">
        <v>205</v>
      </c>
      <c r="T40" s="212" t="s">
        <v>771</v>
      </c>
      <c r="U40" s="213"/>
      <c r="V40" s="6" t="s">
        <v>655</v>
      </c>
      <c r="W40" s="6" t="s">
        <v>678</v>
      </c>
    </row>
    <row r="41" spans="1:23" ht="15">
      <c r="A41" s="50">
        <v>33</v>
      </c>
      <c r="B41" s="51"/>
      <c r="C41" s="51" t="s">
        <v>799</v>
      </c>
      <c r="D41" s="52" t="s">
        <v>800</v>
      </c>
      <c r="E41" s="53" t="s">
        <v>801</v>
      </c>
      <c r="F41" s="208" t="s">
        <v>802</v>
      </c>
      <c r="G41" s="55" t="s">
        <v>95</v>
      </c>
      <c r="H41" s="55" t="s">
        <v>96</v>
      </c>
      <c r="I41" s="55" t="s">
        <v>97</v>
      </c>
      <c r="J41" s="55"/>
      <c r="K41" s="186">
        <f t="shared" si="2"/>
        <v>601</v>
      </c>
      <c r="L41" s="209">
        <v>12.06</v>
      </c>
      <c r="M41" s="210">
        <v>1.6</v>
      </c>
      <c r="N41" s="188">
        <v>0.239</v>
      </c>
      <c r="O41" s="211"/>
      <c r="P41" s="210"/>
      <c r="Q41" s="188"/>
      <c r="R41" s="189" t="str">
        <f t="shared" si="3"/>
        <v>III A</v>
      </c>
      <c r="S41" s="55" t="s">
        <v>98</v>
      </c>
      <c r="T41" s="212" t="s">
        <v>803</v>
      </c>
      <c r="U41" s="213"/>
      <c r="V41" s="6" t="s">
        <v>660</v>
      </c>
      <c r="W41" s="6" t="s">
        <v>678</v>
      </c>
    </row>
    <row r="42" spans="1:23" ht="15">
      <c r="A42" s="50">
        <v>34</v>
      </c>
      <c r="B42" s="51"/>
      <c r="C42" s="51">
        <v>90</v>
      </c>
      <c r="D42" s="52" t="s">
        <v>804</v>
      </c>
      <c r="E42" s="53" t="s">
        <v>805</v>
      </c>
      <c r="F42" s="208" t="s">
        <v>806</v>
      </c>
      <c r="G42" s="55" t="s">
        <v>22</v>
      </c>
      <c r="H42" s="55" t="s">
        <v>72</v>
      </c>
      <c r="I42" s="55" t="s">
        <v>356</v>
      </c>
      <c r="J42" s="55"/>
      <c r="K42" s="186">
        <f t="shared" si="2"/>
        <v>591</v>
      </c>
      <c r="L42" s="209">
        <v>12.1</v>
      </c>
      <c r="M42" s="210">
        <v>1.6</v>
      </c>
      <c r="N42" s="188">
        <v>0.194</v>
      </c>
      <c r="O42" s="211"/>
      <c r="P42" s="210"/>
      <c r="Q42" s="188"/>
      <c r="R42" s="189" t="str">
        <f t="shared" si="3"/>
        <v>III A</v>
      </c>
      <c r="S42" s="55" t="s">
        <v>357</v>
      </c>
      <c r="T42" s="212" t="s">
        <v>466</v>
      </c>
      <c r="U42" s="213"/>
      <c r="V42" s="6" t="s">
        <v>660</v>
      </c>
      <c r="W42" s="6" t="s">
        <v>637</v>
      </c>
    </row>
    <row r="43" spans="1:23" ht="15">
      <c r="A43" s="50">
        <v>35</v>
      </c>
      <c r="B43" s="51"/>
      <c r="C43" s="51" t="s">
        <v>672</v>
      </c>
      <c r="D43" s="52" t="s">
        <v>673</v>
      </c>
      <c r="E43" s="53" t="s">
        <v>674</v>
      </c>
      <c r="F43" s="208" t="s">
        <v>675</v>
      </c>
      <c r="G43" s="55" t="s">
        <v>83</v>
      </c>
      <c r="H43" s="55" t="s">
        <v>676</v>
      </c>
      <c r="I43" s="55"/>
      <c r="J43" s="55"/>
      <c r="K43" s="186">
        <f t="shared" si="2"/>
        <v>586</v>
      </c>
      <c r="L43" s="209">
        <v>12.12</v>
      </c>
      <c r="M43" s="210">
        <v>1.5</v>
      </c>
      <c r="N43" s="188">
        <v>0.153</v>
      </c>
      <c r="O43" s="211"/>
      <c r="P43" s="210"/>
      <c r="Q43" s="188"/>
      <c r="R43" s="189" t="str">
        <f t="shared" si="3"/>
        <v>III A</v>
      </c>
      <c r="S43" s="55" t="s">
        <v>677</v>
      </c>
      <c r="T43" s="212" t="s">
        <v>670</v>
      </c>
      <c r="U43" s="213"/>
      <c r="V43" s="6" t="s">
        <v>637</v>
      </c>
      <c r="W43" s="6" t="s">
        <v>678</v>
      </c>
    </row>
    <row r="44" spans="1:23" ht="15">
      <c r="A44" s="50">
        <v>36</v>
      </c>
      <c r="B44" s="51"/>
      <c r="C44" s="51">
        <v>190</v>
      </c>
      <c r="D44" s="52" t="s">
        <v>839</v>
      </c>
      <c r="E44" s="53" t="s">
        <v>840</v>
      </c>
      <c r="F44" s="208" t="s">
        <v>841</v>
      </c>
      <c r="G44" s="55" t="s">
        <v>43</v>
      </c>
      <c r="H44" s="55" t="s">
        <v>148</v>
      </c>
      <c r="I44" s="55" t="s">
        <v>37</v>
      </c>
      <c r="J44" s="55"/>
      <c r="K44" s="186">
        <f t="shared" si="2"/>
        <v>565</v>
      </c>
      <c r="L44" s="209">
        <v>12.21</v>
      </c>
      <c r="M44" s="210">
        <v>-0.5</v>
      </c>
      <c r="N44" s="188" t="s">
        <v>300</v>
      </c>
      <c r="O44" s="211"/>
      <c r="P44" s="210"/>
      <c r="Q44" s="188"/>
      <c r="R44" s="189" t="str">
        <f t="shared" si="3"/>
        <v>III A</v>
      </c>
      <c r="S44" s="55" t="s">
        <v>552</v>
      </c>
      <c r="T44" s="212" t="s">
        <v>803</v>
      </c>
      <c r="U44" s="213"/>
      <c r="V44" s="6" t="s">
        <v>666</v>
      </c>
      <c r="W44" s="6" t="s">
        <v>678</v>
      </c>
    </row>
    <row r="45" spans="1:23" ht="15">
      <c r="A45" s="50">
        <v>37</v>
      </c>
      <c r="B45" s="51"/>
      <c r="C45" s="51" t="s">
        <v>735</v>
      </c>
      <c r="D45" s="52" t="s">
        <v>736</v>
      </c>
      <c r="E45" s="53" t="s">
        <v>737</v>
      </c>
      <c r="F45" s="208" t="s">
        <v>738</v>
      </c>
      <c r="G45" s="55" t="s">
        <v>83</v>
      </c>
      <c r="H45" s="55" t="s">
        <v>676</v>
      </c>
      <c r="I45" s="55"/>
      <c r="J45" s="55"/>
      <c r="K45" s="186">
        <f t="shared" si="2"/>
        <v>544</v>
      </c>
      <c r="L45" s="209">
        <v>12.3</v>
      </c>
      <c r="M45" s="210">
        <v>-0.3</v>
      </c>
      <c r="N45" s="188">
        <v>0.179</v>
      </c>
      <c r="O45" s="211"/>
      <c r="P45" s="210"/>
      <c r="Q45" s="188"/>
      <c r="R45" s="189" t="str">
        <f t="shared" si="3"/>
        <v>III A</v>
      </c>
      <c r="S45" s="55" t="s">
        <v>677</v>
      </c>
      <c r="T45" s="212" t="s">
        <v>739</v>
      </c>
      <c r="U45" s="213"/>
      <c r="V45" s="6" t="s">
        <v>650</v>
      </c>
      <c r="W45" s="6" t="s">
        <v>644</v>
      </c>
    </row>
    <row r="46" spans="1:23" ht="15">
      <c r="A46" s="50">
        <v>38</v>
      </c>
      <c r="B46" s="51">
        <v>16</v>
      </c>
      <c r="C46" s="51">
        <v>175</v>
      </c>
      <c r="D46" s="52" t="s">
        <v>705</v>
      </c>
      <c r="E46" s="53" t="s">
        <v>706</v>
      </c>
      <c r="F46" s="208" t="s">
        <v>707</v>
      </c>
      <c r="G46" s="55" t="s">
        <v>83</v>
      </c>
      <c r="H46" s="55"/>
      <c r="I46" s="55"/>
      <c r="J46" s="55" t="s">
        <v>311</v>
      </c>
      <c r="K46" s="186">
        <f t="shared" si="2"/>
        <v>534</v>
      </c>
      <c r="L46" s="209">
        <v>12.34</v>
      </c>
      <c r="M46" s="210">
        <v>-1</v>
      </c>
      <c r="N46" s="188" t="s">
        <v>300</v>
      </c>
      <c r="O46" s="211"/>
      <c r="P46" s="210"/>
      <c r="Q46" s="188"/>
      <c r="R46" s="189" t="str">
        <f t="shared" si="3"/>
        <v>III A</v>
      </c>
      <c r="S46" s="55" t="s">
        <v>708</v>
      </c>
      <c r="T46" s="212" t="s">
        <v>709</v>
      </c>
      <c r="U46" s="213"/>
      <c r="V46" s="6" t="s">
        <v>644</v>
      </c>
      <c r="W46" s="6" t="s">
        <v>678</v>
      </c>
    </row>
    <row r="47" spans="1:23" ht="15">
      <c r="A47" s="50">
        <v>39</v>
      </c>
      <c r="B47" s="51"/>
      <c r="C47" s="51" t="s">
        <v>740</v>
      </c>
      <c r="D47" s="52" t="s">
        <v>651</v>
      </c>
      <c r="E47" s="53" t="s">
        <v>105</v>
      </c>
      <c r="F47" s="208" t="s">
        <v>741</v>
      </c>
      <c r="G47" s="55" t="s">
        <v>83</v>
      </c>
      <c r="H47" s="55"/>
      <c r="I47" s="55"/>
      <c r="J47" s="55"/>
      <c r="K47" s="186">
        <f t="shared" si="2"/>
        <v>530</v>
      </c>
      <c r="L47" s="209">
        <v>12.36</v>
      </c>
      <c r="M47" s="210">
        <v>-0.3</v>
      </c>
      <c r="N47" s="188" t="s">
        <v>300</v>
      </c>
      <c r="O47" s="211"/>
      <c r="P47" s="210"/>
      <c r="Q47" s="188"/>
      <c r="R47" s="189" t="str">
        <f t="shared" si="3"/>
        <v>III A</v>
      </c>
      <c r="S47" s="55" t="s">
        <v>742</v>
      </c>
      <c r="T47" s="212" t="s">
        <v>739</v>
      </c>
      <c r="U47" s="213"/>
      <c r="V47" s="6" t="s">
        <v>650</v>
      </c>
      <c r="W47" s="6" t="s">
        <v>678</v>
      </c>
    </row>
    <row r="48" spans="1:23" ht="15">
      <c r="A48" s="50">
        <v>40</v>
      </c>
      <c r="B48" s="51"/>
      <c r="C48" s="51" t="s">
        <v>772</v>
      </c>
      <c r="D48" s="52" t="s">
        <v>651</v>
      </c>
      <c r="E48" s="53" t="s">
        <v>773</v>
      </c>
      <c r="F48" s="208" t="s">
        <v>774</v>
      </c>
      <c r="G48" s="55" t="s">
        <v>22</v>
      </c>
      <c r="H48" s="55" t="s">
        <v>72</v>
      </c>
      <c r="I48" s="55" t="s">
        <v>770</v>
      </c>
      <c r="J48" s="55"/>
      <c r="K48" s="186">
        <f t="shared" si="2"/>
        <v>525</v>
      </c>
      <c r="L48" s="209">
        <v>12.38</v>
      </c>
      <c r="M48" s="210">
        <v>1.2</v>
      </c>
      <c r="N48" s="188">
        <v>0.158</v>
      </c>
      <c r="O48" s="211"/>
      <c r="P48" s="210"/>
      <c r="Q48" s="188"/>
      <c r="R48" s="189" t="str">
        <f t="shared" si="3"/>
        <v>III A</v>
      </c>
      <c r="S48" s="55" t="s">
        <v>205</v>
      </c>
      <c r="T48" s="212" t="s">
        <v>775</v>
      </c>
      <c r="U48" s="213"/>
      <c r="V48" s="6" t="s">
        <v>655</v>
      </c>
      <c r="W48" s="6" t="s">
        <v>644</v>
      </c>
    </row>
    <row r="49" spans="1:23" ht="15">
      <c r="A49" s="50">
        <v>41</v>
      </c>
      <c r="B49" s="51">
        <v>17</v>
      </c>
      <c r="C49" s="51" t="s">
        <v>842</v>
      </c>
      <c r="D49" s="52" t="s">
        <v>516</v>
      </c>
      <c r="E49" s="53" t="s">
        <v>843</v>
      </c>
      <c r="F49" s="208" t="s">
        <v>844</v>
      </c>
      <c r="G49" s="55" t="s">
        <v>22</v>
      </c>
      <c r="H49" s="55"/>
      <c r="I49" s="55"/>
      <c r="J49" s="55" t="s">
        <v>23</v>
      </c>
      <c r="K49" s="186">
        <f t="shared" si="2"/>
        <v>523</v>
      </c>
      <c r="L49" s="209">
        <v>12.39</v>
      </c>
      <c r="M49" s="210">
        <v>-0.5</v>
      </c>
      <c r="N49" s="188" t="s">
        <v>300</v>
      </c>
      <c r="O49" s="211"/>
      <c r="P49" s="210"/>
      <c r="Q49" s="188"/>
      <c r="R49" s="189" t="str">
        <f t="shared" si="3"/>
        <v>III A</v>
      </c>
      <c r="S49" s="55" t="s">
        <v>845</v>
      </c>
      <c r="T49" s="212" t="s">
        <v>466</v>
      </c>
      <c r="U49" s="213"/>
      <c r="V49" s="6" t="s">
        <v>666</v>
      </c>
      <c r="W49" s="6" t="s">
        <v>644</v>
      </c>
    </row>
    <row r="50" spans="1:23" ht="15">
      <c r="A50" s="50">
        <v>42</v>
      </c>
      <c r="B50" s="51"/>
      <c r="C50" s="51">
        <v>263</v>
      </c>
      <c r="D50" s="52" t="s">
        <v>651</v>
      </c>
      <c r="E50" s="53" t="s">
        <v>652</v>
      </c>
      <c r="F50" s="208" t="s">
        <v>653</v>
      </c>
      <c r="G50" s="55" t="s">
        <v>277</v>
      </c>
      <c r="H50" s="55" t="s">
        <v>276</v>
      </c>
      <c r="I50" s="55"/>
      <c r="J50" s="55"/>
      <c r="K50" s="186">
        <f t="shared" si="2"/>
        <v>512</v>
      </c>
      <c r="L50" s="209">
        <v>12.44</v>
      </c>
      <c r="M50" s="210">
        <v>1.5</v>
      </c>
      <c r="N50" s="188" t="s">
        <v>300</v>
      </c>
      <c r="O50" s="211"/>
      <c r="P50" s="210"/>
      <c r="Q50" s="188"/>
      <c r="R50" s="189" t="str">
        <f t="shared" si="3"/>
        <v>III A</v>
      </c>
      <c r="S50" s="55" t="s">
        <v>574</v>
      </c>
      <c r="T50" s="212" t="s">
        <v>654</v>
      </c>
      <c r="U50" s="213"/>
      <c r="V50" s="6" t="s">
        <v>637</v>
      </c>
      <c r="W50" s="6" t="s">
        <v>655</v>
      </c>
    </row>
    <row r="51" spans="1:23" ht="15">
      <c r="A51" s="50"/>
      <c r="B51" s="51"/>
      <c r="C51" s="51" t="s">
        <v>807</v>
      </c>
      <c r="D51" s="52" t="s">
        <v>651</v>
      </c>
      <c r="E51" s="53" t="s">
        <v>808</v>
      </c>
      <c r="F51" s="208" t="s">
        <v>809</v>
      </c>
      <c r="G51" s="55" t="s">
        <v>71</v>
      </c>
      <c r="H51" s="55" t="s">
        <v>72</v>
      </c>
      <c r="I51" s="55" t="s">
        <v>189</v>
      </c>
      <c r="J51" s="55" t="s">
        <v>23</v>
      </c>
      <c r="K51" s="186"/>
      <c r="L51" s="209" t="s">
        <v>329</v>
      </c>
      <c r="M51" s="210"/>
      <c r="N51" s="188">
        <v>0.174</v>
      </c>
      <c r="O51" s="211"/>
      <c r="P51" s="210"/>
      <c r="Q51" s="188"/>
      <c r="R51" s="189">
        <f t="shared" si="3"/>
      </c>
      <c r="S51" s="55" t="s">
        <v>810</v>
      </c>
      <c r="T51" s="212" t="s">
        <v>466</v>
      </c>
      <c r="U51" s="216">
        <v>10.7</v>
      </c>
      <c r="V51" s="6" t="s">
        <v>660</v>
      </c>
      <c r="W51" s="6" t="s">
        <v>666</v>
      </c>
    </row>
    <row r="52" spans="1:23" ht="15">
      <c r="A52" s="50"/>
      <c r="B52" s="51"/>
      <c r="C52" s="51">
        <v>64</v>
      </c>
      <c r="D52" s="52" t="s">
        <v>710</v>
      </c>
      <c r="E52" s="53" t="s">
        <v>711</v>
      </c>
      <c r="F52" s="208" t="s">
        <v>712</v>
      </c>
      <c r="G52" s="55" t="s">
        <v>260</v>
      </c>
      <c r="H52" s="55" t="s">
        <v>259</v>
      </c>
      <c r="I52" s="55"/>
      <c r="J52" s="55"/>
      <c r="K52" s="186"/>
      <c r="L52" s="209" t="s">
        <v>110</v>
      </c>
      <c r="M52" s="210"/>
      <c r="N52" s="188"/>
      <c r="O52" s="211"/>
      <c r="P52" s="210"/>
      <c r="Q52" s="188"/>
      <c r="R52" s="189">
        <f t="shared" si="3"/>
      </c>
      <c r="S52" s="55" t="s">
        <v>713</v>
      </c>
      <c r="T52" s="212" t="s">
        <v>714</v>
      </c>
      <c r="U52" s="213"/>
      <c r="V52" s="6" t="s">
        <v>644</v>
      </c>
      <c r="W52" s="6" t="s">
        <v>644</v>
      </c>
    </row>
    <row r="53" spans="1:23" ht="15">
      <c r="A53" s="50"/>
      <c r="B53" s="51"/>
      <c r="C53" s="51"/>
      <c r="D53" s="52"/>
      <c r="E53" s="53"/>
      <c r="F53" s="208"/>
      <c r="G53" s="55"/>
      <c r="H53" s="55"/>
      <c r="I53" s="55"/>
      <c r="J53" s="55"/>
      <c r="K53" s="186">
        <f>IF(ISBLANK(L53),"",TRUNC(24.63*(L53-17)^2))</f>
      </c>
      <c r="L53" s="209"/>
      <c r="M53" s="210"/>
      <c r="N53" s="188"/>
      <c r="O53" s="211"/>
      <c r="P53" s="210"/>
      <c r="Q53" s="188"/>
      <c r="R53" s="189">
        <f t="shared" si="3"/>
      </c>
      <c r="S53" s="55"/>
      <c r="T53" s="212" t="s">
        <v>846</v>
      </c>
      <c r="U53" s="213"/>
      <c r="V53" s="6" t="s">
        <v>650</v>
      </c>
      <c r="W53" s="6" t="s">
        <v>671</v>
      </c>
    </row>
    <row r="54" ht="12.75">
      <c r="V54" s="6"/>
    </row>
    <row r="55" ht="12.75">
      <c r="V55" s="6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5.140625" style="28" customWidth="1"/>
    <col min="2" max="2" width="2.8515625" style="28" hidden="1" customWidth="1"/>
    <col min="3" max="3" width="5.140625" style="28" customWidth="1"/>
    <col min="4" max="4" width="9.421875" style="23" customWidth="1"/>
    <col min="5" max="5" width="19.28125" style="24" customWidth="1"/>
    <col min="6" max="6" width="9.28125" style="25" customWidth="1"/>
    <col min="7" max="7" width="10.421875" style="24" customWidth="1"/>
    <col min="8" max="8" width="7.421875" style="24" customWidth="1"/>
    <col min="9" max="9" width="12.851562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00390625" style="26" customWidth="1"/>
    <col min="14" max="14" width="4.421875" style="6" customWidth="1"/>
    <col min="15" max="15" width="24.421875" style="24" customWidth="1"/>
    <col min="16" max="16" width="5.8515625" style="9" hidden="1" customWidth="1"/>
    <col min="17" max="17" width="5.8515625" style="174" hidden="1" customWidth="1"/>
    <col min="18" max="19" width="2.00390625" style="24" hidden="1" customWidth="1"/>
    <col min="20" max="20" width="0" style="24" hidden="1" customWidth="1"/>
    <col min="21" max="16384" width="9.140625" style="24" customWidth="1"/>
  </cols>
  <sheetData>
    <row r="1" spans="1:17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6"/>
      <c r="P1" s="9"/>
      <c r="Q1" s="174"/>
    </row>
    <row r="2" spans="1:17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6"/>
      <c r="O2" s="18" t="s">
        <v>2</v>
      </c>
      <c r="P2" s="20"/>
      <c r="Q2" s="175"/>
    </row>
    <row r="3" spans="1:15" ht="15" customHeight="1">
      <c r="A3" s="22"/>
      <c r="B3" s="22"/>
      <c r="C3" s="22"/>
      <c r="O3" s="27" t="s">
        <v>1236</v>
      </c>
    </row>
    <row r="4" spans="4:15" ht="15.75" customHeight="1">
      <c r="D4" s="29" t="s">
        <v>331</v>
      </c>
      <c r="F4" s="30"/>
      <c r="O4" s="31"/>
    </row>
    <row r="5" ht="3.75" customHeight="1">
      <c r="J5" s="176">
        <v>1.1574074074074073E-05</v>
      </c>
    </row>
    <row r="6" spans="3:8" ht="13.5" thickBot="1">
      <c r="C6" s="33"/>
      <c r="D6" s="34"/>
      <c r="E6" s="35">
        <v>1</v>
      </c>
      <c r="F6" s="36" t="s">
        <v>332</v>
      </c>
      <c r="G6" s="37">
        <v>4</v>
      </c>
      <c r="H6" s="38"/>
    </row>
    <row r="7" spans="1:17" s="185" customFormat="1" ht="13.5" thickBot="1">
      <c r="A7" s="177" t="s">
        <v>109</v>
      </c>
      <c r="B7" s="43" t="s">
        <v>17</v>
      </c>
      <c r="C7" s="178" t="s">
        <v>4</v>
      </c>
      <c r="D7" s="179" t="s">
        <v>5</v>
      </c>
      <c r="E7" s="180" t="s">
        <v>6</v>
      </c>
      <c r="F7" s="181" t="s">
        <v>7</v>
      </c>
      <c r="G7" s="160" t="s">
        <v>8</v>
      </c>
      <c r="H7" s="160" t="s">
        <v>9</v>
      </c>
      <c r="I7" s="160" t="s">
        <v>10</v>
      </c>
      <c r="J7" s="160" t="s">
        <v>11</v>
      </c>
      <c r="K7" s="160" t="s">
        <v>12</v>
      </c>
      <c r="L7" s="160" t="s">
        <v>13</v>
      </c>
      <c r="M7" s="182" t="s">
        <v>294</v>
      </c>
      <c r="N7" s="183" t="s">
        <v>14</v>
      </c>
      <c r="O7" s="184" t="s">
        <v>15</v>
      </c>
      <c r="P7" s="20" t="s">
        <v>18</v>
      </c>
      <c r="Q7" s="175" t="s">
        <v>16</v>
      </c>
    </row>
    <row r="8" spans="1:19" ht="12.75">
      <c r="A8" s="50">
        <v>1</v>
      </c>
      <c r="B8" s="51"/>
      <c r="C8" s="51" t="s">
        <v>333</v>
      </c>
      <c r="D8" s="52" t="s">
        <v>206</v>
      </c>
      <c r="E8" s="53" t="s">
        <v>334</v>
      </c>
      <c r="F8" s="54" t="s">
        <v>335</v>
      </c>
      <c r="G8" s="55" t="s">
        <v>336</v>
      </c>
      <c r="H8" s="55" t="s">
        <v>337</v>
      </c>
      <c r="I8" s="55" t="s">
        <v>130</v>
      </c>
      <c r="J8" s="55"/>
      <c r="K8" s="186">
        <f>IF(ISBLANK(L8),"",TRUNC(0.335*((L8/$J$5)-110)^2))</f>
        <v>848</v>
      </c>
      <c r="L8" s="187">
        <v>0.0006906249999999999</v>
      </c>
      <c r="M8" s="188"/>
      <c r="N8" s="189" t="str">
        <f>IF(ISBLANK(L8),"",IF(L8&gt;0.000811805555555556,"",IF(L8&lt;=0.000605324074074074,"TSM",IF(L8&lt;=0.000626736111111111,"SM",IF(L8&lt;=0.000659722222222222,"KSM",IF(L8&lt;=0.000695601851851852,"I A",IF(L8&lt;=0.000742361111111111,"II A",IF(L8&lt;=0.000811805555555556,"III A"))))))))</f>
        <v>I A</v>
      </c>
      <c r="O8" s="55" t="s">
        <v>338</v>
      </c>
      <c r="P8" s="190"/>
      <c r="Q8" s="190"/>
      <c r="R8" s="191">
        <v>1</v>
      </c>
      <c r="S8" s="24">
        <v>4</v>
      </c>
    </row>
    <row r="9" spans="1:19" ht="13.5" customHeight="1">
      <c r="A9" s="50">
        <v>2</v>
      </c>
      <c r="B9" s="51"/>
      <c r="C9" s="51" t="s">
        <v>339</v>
      </c>
      <c r="D9" s="52" t="s">
        <v>252</v>
      </c>
      <c r="E9" s="53" t="s">
        <v>340</v>
      </c>
      <c r="F9" s="54" t="s">
        <v>341</v>
      </c>
      <c r="G9" s="55" t="s">
        <v>342</v>
      </c>
      <c r="H9" s="55" t="s">
        <v>29</v>
      </c>
      <c r="I9" s="55" t="s">
        <v>30</v>
      </c>
      <c r="J9" s="55"/>
      <c r="K9" s="186">
        <f>IF(ISBLANK(L9),"",TRUNC(0.335*((L9/$J$5)-110)^2))</f>
        <v>808</v>
      </c>
      <c r="L9" s="192">
        <v>0.000704513888888889</v>
      </c>
      <c r="M9" s="188"/>
      <c r="N9" s="189" t="str">
        <f>IF(ISBLANK(L9),"",IF(L9&gt;0.000811805555555556,"",IF(L9&lt;=0.000605324074074074,"TSM",IF(L9&lt;=0.000626736111111111,"SM",IF(L9&lt;=0.000659722222222222,"KSM",IF(L9&lt;=0.000695601851851852,"I A",IF(L9&lt;=0.000742361111111111,"II A",IF(L9&lt;=0.000811805555555556,"III A"))))))))</f>
        <v>II A</v>
      </c>
      <c r="O9" s="55" t="s">
        <v>343</v>
      </c>
      <c r="P9" s="190"/>
      <c r="Q9" s="190"/>
      <c r="R9" s="191">
        <v>1</v>
      </c>
      <c r="S9" s="24">
        <v>2</v>
      </c>
    </row>
    <row r="10" spans="1:19" ht="13.5" customHeight="1">
      <c r="A10" s="50">
        <v>3</v>
      </c>
      <c r="B10" s="51"/>
      <c r="C10" s="51">
        <v>139</v>
      </c>
      <c r="D10" s="52" t="s">
        <v>196</v>
      </c>
      <c r="E10" s="53" t="s">
        <v>344</v>
      </c>
      <c r="F10" s="54" t="s">
        <v>345</v>
      </c>
      <c r="G10" s="55" t="s">
        <v>83</v>
      </c>
      <c r="H10" s="55" t="s">
        <v>243</v>
      </c>
      <c r="I10" s="55" t="s">
        <v>346</v>
      </c>
      <c r="J10" s="55"/>
      <c r="K10" s="186">
        <f>IF(ISBLANK(L10),"",TRUNC(0.335*((L10/$J$5)-110)^2))</f>
        <v>739</v>
      </c>
      <c r="L10" s="192">
        <v>0.0007295138888888889</v>
      </c>
      <c r="M10" s="188"/>
      <c r="N10" s="189" t="str">
        <f>IF(ISBLANK(L10),"",IF(L10&gt;0.000811805555555556,"",IF(L10&lt;=0.000605324074074074,"TSM",IF(L10&lt;=0.000626736111111111,"SM",IF(L10&lt;=0.000659722222222222,"KSM",IF(L10&lt;=0.000695601851851852,"I A",IF(L10&lt;=0.000742361111111111,"II A",IF(L10&lt;=0.000811805555555556,"III A"))))))))</f>
        <v>II A</v>
      </c>
      <c r="O10" s="193" t="s">
        <v>347</v>
      </c>
      <c r="P10" s="190"/>
      <c r="Q10" s="190"/>
      <c r="R10" s="191">
        <v>1</v>
      </c>
      <c r="S10" s="24">
        <v>7</v>
      </c>
    </row>
    <row r="11" spans="1:19" ht="13.5" customHeight="1">
      <c r="A11" s="50">
        <v>4</v>
      </c>
      <c r="B11" s="51"/>
      <c r="C11" s="51" t="s">
        <v>348</v>
      </c>
      <c r="D11" s="52" t="s">
        <v>349</v>
      </c>
      <c r="E11" s="53" t="s">
        <v>350</v>
      </c>
      <c r="F11" s="54" t="s">
        <v>351</v>
      </c>
      <c r="G11" s="55" t="s">
        <v>352</v>
      </c>
      <c r="H11" s="55" t="s">
        <v>237</v>
      </c>
      <c r="I11" s="55"/>
      <c r="J11" s="55"/>
      <c r="K11" s="186">
        <f>IF(ISBLANK(L11),"",TRUNC(0.335*((L11/$J$5)-110)^2))</f>
        <v>725</v>
      </c>
      <c r="L11" s="192">
        <v>0.0007343750000000001</v>
      </c>
      <c r="M11" s="188"/>
      <c r="N11" s="189" t="str">
        <f>IF(ISBLANK(L11),"",IF(L11&gt;0.000811805555555556,"",IF(L11&lt;=0.000605324074074074,"TSM",IF(L11&lt;=0.000626736111111111,"SM",IF(L11&lt;=0.000659722222222222,"KSM",IF(L11&lt;=0.000695601851851852,"I A",IF(L11&lt;=0.000742361111111111,"II A",IF(L11&lt;=0.000811805555555556,"III A"))))))))</f>
        <v>II A</v>
      </c>
      <c r="O11" s="55" t="s">
        <v>353</v>
      </c>
      <c r="P11" s="190"/>
      <c r="Q11" s="190"/>
      <c r="R11" s="191">
        <v>1</v>
      </c>
      <c r="S11" s="24">
        <v>6</v>
      </c>
    </row>
    <row r="12" spans="1:19" ht="13.5" customHeight="1">
      <c r="A12" s="50">
        <v>5</v>
      </c>
      <c r="B12" s="51"/>
      <c r="C12" s="51">
        <v>89</v>
      </c>
      <c r="D12" s="52" t="s">
        <v>135</v>
      </c>
      <c r="E12" s="53" t="s">
        <v>354</v>
      </c>
      <c r="F12" s="54" t="s">
        <v>355</v>
      </c>
      <c r="G12" s="55" t="s">
        <v>71</v>
      </c>
      <c r="H12" s="55" t="s">
        <v>72</v>
      </c>
      <c r="I12" s="55" t="s">
        <v>356</v>
      </c>
      <c r="J12" s="55"/>
      <c r="K12" s="186">
        <f>IF(ISBLANK(L12),"",TRUNC(0.335*((L12/$J$5)-110)^2))</f>
        <v>703</v>
      </c>
      <c r="L12" s="192">
        <v>0.0007425925925925925</v>
      </c>
      <c r="M12" s="188"/>
      <c r="N12" s="189" t="str">
        <f>IF(ISBLANK(L12),"",IF(L12&gt;0.000811805555555556,"",IF(L12&lt;=0.000605324074074074,"TSM",IF(L12&lt;=0.000626736111111111,"SM",IF(L12&lt;=0.000659722222222222,"KSM",IF(L12&lt;=0.000695601851851852,"I A",IF(L12&lt;=0.000742361111111111,"II A",IF(L12&lt;=0.000811805555555556,"III A"))))))))</f>
        <v>III A</v>
      </c>
      <c r="O12" s="55" t="s">
        <v>357</v>
      </c>
      <c r="P12" s="190"/>
      <c r="Q12" s="190"/>
      <c r="R12" s="191">
        <v>1</v>
      </c>
      <c r="S12" s="24">
        <v>8</v>
      </c>
    </row>
    <row r="13" ht="3.75" customHeight="1">
      <c r="J13" s="176"/>
    </row>
    <row r="14" spans="3:8" ht="13.5" thickBot="1">
      <c r="C14" s="33"/>
      <c r="D14" s="34"/>
      <c r="E14" s="35">
        <v>2</v>
      </c>
      <c r="F14" s="36" t="s">
        <v>332</v>
      </c>
      <c r="G14" s="37">
        <v>4</v>
      </c>
      <c r="H14" s="38"/>
    </row>
    <row r="15" spans="1:17" s="185" customFormat="1" ht="13.5" thickBot="1">
      <c r="A15" s="177" t="s">
        <v>358</v>
      </c>
      <c r="B15" s="43" t="s">
        <v>17</v>
      </c>
      <c r="C15" s="178" t="s">
        <v>4</v>
      </c>
      <c r="D15" s="179" t="s">
        <v>5</v>
      </c>
      <c r="E15" s="180" t="s">
        <v>6</v>
      </c>
      <c r="F15" s="181" t="s">
        <v>7</v>
      </c>
      <c r="G15" s="160" t="s">
        <v>8</v>
      </c>
      <c r="H15" s="160" t="s">
        <v>9</v>
      </c>
      <c r="I15" s="160" t="s">
        <v>10</v>
      </c>
      <c r="J15" s="160" t="s">
        <v>11</v>
      </c>
      <c r="K15" s="160" t="s">
        <v>12</v>
      </c>
      <c r="L15" s="160" t="s">
        <v>13</v>
      </c>
      <c r="M15" s="182" t="s">
        <v>294</v>
      </c>
      <c r="N15" s="183" t="s">
        <v>14</v>
      </c>
      <c r="O15" s="184" t="s">
        <v>15</v>
      </c>
      <c r="P15" s="20" t="s">
        <v>18</v>
      </c>
      <c r="Q15" s="175" t="s">
        <v>16</v>
      </c>
    </row>
    <row r="16" spans="1:19" ht="12.75">
      <c r="A16" s="50">
        <v>1</v>
      </c>
      <c r="B16" s="51"/>
      <c r="C16" s="51">
        <v>191</v>
      </c>
      <c r="D16" s="52" t="s">
        <v>326</v>
      </c>
      <c r="E16" s="53" t="s">
        <v>359</v>
      </c>
      <c r="F16" s="54" t="s">
        <v>360</v>
      </c>
      <c r="G16" s="55" t="s">
        <v>43</v>
      </c>
      <c r="H16" s="55" t="s">
        <v>148</v>
      </c>
      <c r="I16" s="55" t="s">
        <v>361</v>
      </c>
      <c r="J16" s="55"/>
      <c r="K16" s="186">
        <f aca="true" t="shared" si="0" ref="K16:K23">IF(ISBLANK(L16),"",TRUNC(0.335*((L16/$J$5)-110)^2))</f>
        <v>758</v>
      </c>
      <c r="L16" s="192">
        <v>0.0007224537037037038</v>
      </c>
      <c r="M16" s="188"/>
      <c r="N16" s="189" t="str">
        <f aca="true" t="shared" si="1" ref="N16:N23">IF(ISBLANK(L16),"",IF(L16&gt;0.000811805555555556,"",IF(L16&lt;=0.000605324074074074,"TSM",IF(L16&lt;=0.000626736111111111,"SM",IF(L16&lt;=0.000659722222222222,"KSM",IF(L16&lt;=0.000695601851851852,"I A",IF(L16&lt;=0.000742361111111111,"II A",IF(L16&lt;=0.000811805555555556,"III A"))))))))</f>
        <v>II A</v>
      </c>
      <c r="O16" s="55" t="s">
        <v>362</v>
      </c>
      <c r="P16" s="190" t="s">
        <v>363</v>
      </c>
      <c r="Q16" s="190"/>
      <c r="R16" s="191">
        <v>2</v>
      </c>
      <c r="S16" s="24">
        <v>3</v>
      </c>
    </row>
    <row r="17" spans="1:19" ht="13.5" customHeight="1">
      <c r="A17" s="50">
        <v>2</v>
      </c>
      <c r="B17" s="194"/>
      <c r="C17" s="51">
        <v>150</v>
      </c>
      <c r="D17" s="52" t="s">
        <v>364</v>
      </c>
      <c r="E17" s="53" t="s">
        <v>365</v>
      </c>
      <c r="F17" s="54" t="s">
        <v>366</v>
      </c>
      <c r="G17" s="55" t="s">
        <v>83</v>
      </c>
      <c r="H17" s="55"/>
      <c r="I17" s="55"/>
      <c r="J17" s="55" t="s">
        <v>85</v>
      </c>
      <c r="K17" s="186">
        <f t="shared" si="0"/>
        <v>748</v>
      </c>
      <c r="L17" s="192">
        <v>0.0007260416666666668</v>
      </c>
      <c r="M17" s="188"/>
      <c r="N17" s="189" t="str">
        <f t="shared" si="1"/>
        <v>II A</v>
      </c>
      <c r="O17" s="55" t="s">
        <v>367</v>
      </c>
      <c r="P17" s="190" t="s">
        <v>368</v>
      </c>
      <c r="Q17" s="190"/>
      <c r="R17" s="191">
        <v>2</v>
      </c>
      <c r="S17" s="24">
        <v>5</v>
      </c>
    </row>
    <row r="18" spans="1:19" ht="13.5" customHeight="1">
      <c r="A18" s="50">
        <v>3</v>
      </c>
      <c r="B18" s="51"/>
      <c r="C18" s="51" t="s">
        <v>369</v>
      </c>
      <c r="D18" s="52" t="s">
        <v>249</v>
      </c>
      <c r="E18" s="53" t="s">
        <v>370</v>
      </c>
      <c r="F18" s="54" t="s">
        <v>371</v>
      </c>
      <c r="G18" s="55" t="s">
        <v>342</v>
      </c>
      <c r="H18" s="55" t="s">
        <v>29</v>
      </c>
      <c r="I18" s="55" t="s">
        <v>30</v>
      </c>
      <c r="J18" s="55"/>
      <c r="K18" s="186">
        <f t="shared" si="0"/>
        <v>737</v>
      </c>
      <c r="L18" s="192">
        <v>0.0007299768518518518</v>
      </c>
      <c r="M18" s="188"/>
      <c r="N18" s="189" t="str">
        <f t="shared" si="1"/>
        <v>II A</v>
      </c>
      <c r="O18" s="55" t="s">
        <v>372</v>
      </c>
      <c r="P18" s="190"/>
      <c r="Q18" s="190"/>
      <c r="R18" s="191">
        <v>2</v>
      </c>
      <c r="S18" s="24">
        <v>1</v>
      </c>
    </row>
    <row r="19" spans="1:19" ht="13.5" customHeight="1">
      <c r="A19" s="50">
        <v>4</v>
      </c>
      <c r="B19" s="51"/>
      <c r="C19" s="51" t="s">
        <v>373</v>
      </c>
      <c r="D19" s="52" t="s">
        <v>374</v>
      </c>
      <c r="E19" s="53" t="s">
        <v>375</v>
      </c>
      <c r="F19" s="54" t="s">
        <v>376</v>
      </c>
      <c r="G19" s="55" t="s">
        <v>43</v>
      </c>
      <c r="H19" s="55" t="s">
        <v>44</v>
      </c>
      <c r="I19" s="55"/>
      <c r="J19" s="55"/>
      <c r="K19" s="186">
        <f t="shared" si="0"/>
        <v>723</v>
      </c>
      <c r="L19" s="192">
        <v>0.0007351851851851852</v>
      </c>
      <c r="M19" s="188"/>
      <c r="N19" s="189" t="str">
        <f t="shared" si="1"/>
        <v>II A</v>
      </c>
      <c r="O19" s="55" t="s">
        <v>46</v>
      </c>
      <c r="P19" s="190" t="s">
        <v>377</v>
      </c>
      <c r="Q19" s="190"/>
      <c r="R19" s="191">
        <v>2</v>
      </c>
      <c r="S19" s="24">
        <v>4</v>
      </c>
    </row>
    <row r="20" spans="1:19" ht="13.5" customHeight="1">
      <c r="A20" s="50">
        <v>5</v>
      </c>
      <c r="B20" s="194"/>
      <c r="C20" s="51">
        <v>170</v>
      </c>
      <c r="D20" s="52" t="s">
        <v>139</v>
      </c>
      <c r="E20" s="53" t="s">
        <v>378</v>
      </c>
      <c r="F20" s="54" t="s">
        <v>379</v>
      </c>
      <c r="G20" s="55" t="s">
        <v>83</v>
      </c>
      <c r="H20" s="55"/>
      <c r="I20" s="55" t="s">
        <v>84</v>
      </c>
      <c r="J20" s="55" t="s">
        <v>102</v>
      </c>
      <c r="K20" s="186">
        <f t="shared" si="0"/>
        <v>698</v>
      </c>
      <c r="L20" s="192">
        <v>0.0007447916666666666</v>
      </c>
      <c r="M20" s="188"/>
      <c r="N20" s="189" t="str">
        <f t="shared" si="1"/>
        <v>III A</v>
      </c>
      <c r="O20" s="55" t="s">
        <v>380</v>
      </c>
      <c r="P20" s="190"/>
      <c r="Q20" s="190"/>
      <c r="R20" s="191">
        <v>2</v>
      </c>
      <c r="S20" s="24">
        <v>2</v>
      </c>
    </row>
    <row r="21" spans="1:19" ht="13.5" customHeight="1">
      <c r="A21" s="50">
        <v>6</v>
      </c>
      <c r="B21" s="51"/>
      <c r="C21" s="51">
        <v>162</v>
      </c>
      <c r="D21" s="52" t="s">
        <v>381</v>
      </c>
      <c r="E21" s="53" t="s">
        <v>382</v>
      </c>
      <c r="F21" s="54" t="s">
        <v>383</v>
      </c>
      <c r="G21" s="55" t="s">
        <v>95</v>
      </c>
      <c r="H21" s="55" t="s">
        <v>96</v>
      </c>
      <c r="I21" s="55" t="s">
        <v>97</v>
      </c>
      <c r="J21" s="55"/>
      <c r="K21" s="186">
        <f t="shared" si="0"/>
        <v>697</v>
      </c>
      <c r="L21" s="192">
        <v>0.0007449074074074073</v>
      </c>
      <c r="M21" s="188"/>
      <c r="N21" s="189" t="str">
        <f t="shared" si="1"/>
        <v>III A</v>
      </c>
      <c r="O21" s="55" t="s">
        <v>384</v>
      </c>
      <c r="P21" s="190" t="s">
        <v>385</v>
      </c>
      <c r="Q21" s="190"/>
      <c r="R21" s="191">
        <v>2</v>
      </c>
      <c r="S21" s="24">
        <v>7</v>
      </c>
    </row>
    <row r="22" spans="1:19" ht="13.5" customHeight="1">
      <c r="A22" s="50">
        <v>7</v>
      </c>
      <c r="B22" s="51"/>
      <c r="C22" s="51" t="s">
        <v>386</v>
      </c>
      <c r="D22" s="52" t="s">
        <v>387</v>
      </c>
      <c r="E22" s="53" t="s">
        <v>388</v>
      </c>
      <c r="F22" s="54" t="s">
        <v>389</v>
      </c>
      <c r="G22" s="55" t="s">
        <v>22</v>
      </c>
      <c r="H22" s="55" t="s">
        <v>72</v>
      </c>
      <c r="I22" s="55"/>
      <c r="J22" s="55"/>
      <c r="K22" s="186">
        <f t="shared" si="0"/>
        <v>650</v>
      </c>
      <c r="L22" s="192">
        <v>0.0007630787037037037</v>
      </c>
      <c r="M22" s="188"/>
      <c r="N22" s="189" t="str">
        <f t="shared" si="1"/>
        <v>III A</v>
      </c>
      <c r="O22" s="55" t="s">
        <v>390</v>
      </c>
      <c r="P22" s="190" t="s">
        <v>391</v>
      </c>
      <c r="Q22" s="190"/>
      <c r="R22" s="191">
        <v>2</v>
      </c>
      <c r="S22" s="24">
        <v>6</v>
      </c>
    </row>
    <row r="23" spans="1:19" ht="13.5" customHeight="1">
      <c r="A23" s="50">
        <v>8</v>
      </c>
      <c r="B23" s="51"/>
      <c r="C23" s="51" t="s">
        <v>392</v>
      </c>
      <c r="D23" s="52" t="s">
        <v>393</v>
      </c>
      <c r="E23" s="53" t="s">
        <v>394</v>
      </c>
      <c r="F23" s="54" t="s">
        <v>395</v>
      </c>
      <c r="G23" s="55" t="s">
        <v>118</v>
      </c>
      <c r="H23" s="55" t="s">
        <v>9</v>
      </c>
      <c r="I23" s="55" t="s">
        <v>117</v>
      </c>
      <c r="J23" s="55"/>
      <c r="K23" s="186">
        <f t="shared" si="0"/>
        <v>517</v>
      </c>
      <c r="L23" s="192">
        <v>0.000818287037037037</v>
      </c>
      <c r="M23" s="188"/>
      <c r="N23" s="189">
        <f t="shared" si="1"/>
      </c>
      <c r="O23" s="55" t="s">
        <v>116</v>
      </c>
      <c r="P23" s="190" t="s">
        <v>396</v>
      </c>
      <c r="Q23" s="190"/>
      <c r="R23" s="191">
        <v>2</v>
      </c>
      <c r="S23" s="24">
        <v>8</v>
      </c>
    </row>
    <row r="24" ht="3.75" customHeight="1">
      <c r="J24" s="176"/>
    </row>
    <row r="25" spans="3:8" ht="13.5" thickBot="1">
      <c r="C25" s="33"/>
      <c r="D25" s="34"/>
      <c r="E25" s="35">
        <v>3</v>
      </c>
      <c r="F25" s="36" t="s">
        <v>332</v>
      </c>
      <c r="G25" s="37">
        <v>4</v>
      </c>
      <c r="H25" s="38"/>
    </row>
    <row r="26" spans="1:17" s="185" customFormat="1" ht="13.5" thickBot="1">
      <c r="A26" s="177" t="s">
        <v>358</v>
      </c>
      <c r="B26" s="43" t="s">
        <v>17</v>
      </c>
      <c r="C26" s="178" t="s">
        <v>4</v>
      </c>
      <c r="D26" s="179" t="s">
        <v>5</v>
      </c>
      <c r="E26" s="180" t="s">
        <v>6</v>
      </c>
      <c r="F26" s="181" t="s">
        <v>7</v>
      </c>
      <c r="G26" s="160" t="s">
        <v>8</v>
      </c>
      <c r="H26" s="160" t="s">
        <v>9</v>
      </c>
      <c r="I26" s="160" t="s">
        <v>10</v>
      </c>
      <c r="J26" s="160" t="s">
        <v>11</v>
      </c>
      <c r="K26" s="160" t="s">
        <v>12</v>
      </c>
      <c r="L26" s="160" t="s">
        <v>13</v>
      </c>
      <c r="M26" s="182" t="s">
        <v>294</v>
      </c>
      <c r="N26" s="183" t="s">
        <v>14</v>
      </c>
      <c r="O26" s="184" t="s">
        <v>15</v>
      </c>
      <c r="P26" s="20" t="s">
        <v>18</v>
      </c>
      <c r="Q26" s="175" t="s">
        <v>16</v>
      </c>
    </row>
    <row r="27" spans="1:19" ht="12.75">
      <c r="A27" s="50">
        <v>1</v>
      </c>
      <c r="B27" s="51"/>
      <c r="C27" s="51">
        <v>259</v>
      </c>
      <c r="D27" s="52" t="s">
        <v>397</v>
      </c>
      <c r="E27" s="53" t="s">
        <v>144</v>
      </c>
      <c r="F27" s="54" t="s">
        <v>143</v>
      </c>
      <c r="G27" s="55" t="s">
        <v>142</v>
      </c>
      <c r="H27" s="55" t="s">
        <v>141</v>
      </c>
      <c r="I27" s="55" t="s">
        <v>130</v>
      </c>
      <c r="J27" s="55"/>
      <c r="K27" s="186">
        <f aca="true" t="shared" si="2" ref="K27:K34">IF(ISBLANK(L27),"",TRUNC(0.335*((L27/$J$5)-110)^2))</f>
        <v>878</v>
      </c>
      <c r="L27" s="187">
        <v>0.0006805555555555554</v>
      </c>
      <c r="M27" s="188"/>
      <c r="N27" s="189" t="str">
        <f aca="true" t="shared" si="3" ref="N27:N34">IF(ISBLANK(L27),"",IF(L27&gt;0.000811805555555556,"",IF(L27&lt;=0.000605324074074074,"TSM",IF(L27&lt;=0.000626736111111111,"SM",IF(L27&lt;=0.000659722222222222,"KSM",IF(L27&lt;=0.000695601851851852,"I A",IF(L27&lt;=0.000742361111111111,"II A",IF(L27&lt;=0.000811805555555556,"III A"))))))))</f>
        <v>I A</v>
      </c>
      <c r="O27" s="55" t="s">
        <v>140</v>
      </c>
      <c r="P27" s="190" t="s">
        <v>398</v>
      </c>
      <c r="Q27" s="190"/>
      <c r="R27" s="191">
        <v>3</v>
      </c>
      <c r="S27" s="24">
        <v>4</v>
      </c>
    </row>
    <row r="28" spans="1:19" ht="13.5" customHeight="1">
      <c r="A28" s="50">
        <v>2</v>
      </c>
      <c r="B28" s="194"/>
      <c r="C28" s="51" t="s">
        <v>399</v>
      </c>
      <c r="D28" s="52" t="s">
        <v>192</v>
      </c>
      <c r="E28" s="53" t="s">
        <v>400</v>
      </c>
      <c r="F28" s="54" t="s">
        <v>401</v>
      </c>
      <c r="G28" s="55" t="s">
        <v>22</v>
      </c>
      <c r="H28" s="55"/>
      <c r="I28" s="55" t="s">
        <v>45</v>
      </c>
      <c r="J28" s="55" t="s">
        <v>107</v>
      </c>
      <c r="K28" s="186">
        <f t="shared" si="2"/>
        <v>839</v>
      </c>
      <c r="L28" s="187">
        <v>0.0006938657407407409</v>
      </c>
      <c r="M28" s="188"/>
      <c r="N28" s="189" t="str">
        <f t="shared" si="3"/>
        <v>I A</v>
      </c>
      <c r="O28" s="55" t="s">
        <v>402</v>
      </c>
      <c r="P28" s="190" t="s">
        <v>403</v>
      </c>
      <c r="Q28" s="190"/>
      <c r="R28" s="191">
        <v>3</v>
      </c>
      <c r="S28" s="24">
        <v>1</v>
      </c>
    </row>
    <row r="29" spans="1:19" ht="13.5" customHeight="1">
      <c r="A29" s="50">
        <v>3</v>
      </c>
      <c r="B29" s="51"/>
      <c r="C29" s="51">
        <v>160</v>
      </c>
      <c r="D29" s="52" t="s">
        <v>404</v>
      </c>
      <c r="E29" s="53" t="s">
        <v>405</v>
      </c>
      <c r="F29" s="54" t="s">
        <v>406</v>
      </c>
      <c r="G29" s="55" t="s">
        <v>407</v>
      </c>
      <c r="H29" s="55" t="s">
        <v>96</v>
      </c>
      <c r="I29" s="55" t="s">
        <v>97</v>
      </c>
      <c r="J29" s="55"/>
      <c r="K29" s="186">
        <f t="shared" si="2"/>
        <v>816</v>
      </c>
      <c r="L29" s="192">
        <v>0.0007018518518518518</v>
      </c>
      <c r="M29" s="188"/>
      <c r="N29" s="189" t="str">
        <f t="shared" si="3"/>
        <v>II A</v>
      </c>
      <c r="O29" s="55" t="s">
        <v>98</v>
      </c>
      <c r="P29" s="190" t="s">
        <v>408</v>
      </c>
      <c r="Q29" s="190"/>
      <c r="R29" s="191">
        <v>3</v>
      </c>
      <c r="S29" s="24">
        <v>6</v>
      </c>
    </row>
    <row r="30" spans="1:19" ht="13.5" customHeight="1">
      <c r="A30" s="50">
        <v>4</v>
      </c>
      <c r="B30" s="51"/>
      <c r="C30" s="51">
        <v>78</v>
      </c>
      <c r="D30" s="52" t="s">
        <v>409</v>
      </c>
      <c r="E30" s="53" t="s">
        <v>410</v>
      </c>
      <c r="F30" s="54" t="s">
        <v>411</v>
      </c>
      <c r="G30" s="55" t="s">
        <v>132</v>
      </c>
      <c r="H30" s="55"/>
      <c r="I30" s="55" t="s">
        <v>130</v>
      </c>
      <c r="J30" s="55"/>
      <c r="K30" s="186">
        <f t="shared" si="2"/>
        <v>814</v>
      </c>
      <c r="L30" s="192">
        <v>0.0007024305555555555</v>
      </c>
      <c r="M30" s="188"/>
      <c r="N30" s="189" t="str">
        <f t="shared" si="3"/>
        <v>II A</v>
      </c>
      <c r="O30" s="55" t="s">
        <v>412</v>
      </c>
      <c r="P30" s="190" t="s">
        <v>413</v>
      </c>
      <c r="Q30" s="190"/>
      <c r="R30" s="191">
        <v>3</v>
      </c>
      <c r="S30" s="24">
        <v>5</v>
      </c>
    </row>
    <row r="31" spans="1:19" ht="13.5" customHeight="1">
      <c r="A31" s="50">
        <v>5</v>
      </c>
      <c r="B31" s="194"/>
      <c r="C31" s="51">
        <v>79</v>
      </c>
      <c r="D31" s="52" t="s">
        <v>414</v>
      </c>
      <c r="E31" s="53" t="s">
        <v>415</v>
      </c>
      <c r="F31" s="54" t="s">
        <v>416</v>
      </c>
      <c r="G31" s="55" t="s">
        <v>132</v>
      </c>
      <c r="H31" s="55"/>
      <c r="I31" s="55" t="s">
        <v>130</v>
      </c>
      <c r="J31" s="55" t="s">
        <v>171</v>
      </c>
      <c r="K31" s="186">
        <f t="shared" si="2"/>
        <v>808</v>
      </c>
      <c r="L31" s="192">
        <v>0.000704513888888889</v>
      </c>
      <c r="M31" s="188"/>
      <c r="N31" s="189" t="str">
        <f t="shared" si="3"/>
        <v>II A</v>
      </c>
      <c r="O31" s="55" t="s">
        <v>170</v>
      </c>
      <c r="P31" s="190" t="s">
        <v>417</v>
      </c>
      <c r="Q31" s="190"/>
      <c r="R31" s="191">
        <v>3</v>
      </c>
      <c r="S31" s="24">
        <v>7</v>
      </c>
    </row>
    <row r="32" spans="1:19" ht="13.5" customHeight="1">
      <c r="A32" s="50">
        <v>6</v>
      </c>
      <c r="B32" s="51"/>
      <c r="C32" s="51" t="s">
        <v>418</v>
      </c>
      <c r="D32" s="52" t="s">
        <v>419</v>
      </c>
      <c r="E32" s="53" t="s">
        <v>420</v>
      </c>
      <c r="F32" s="54" t="s">
        <v>421</v>
      </c>
      <c r="G32" s="55" t="s">
        <v>71</v>
      </c>
      <c r="H32" s="55" t="s">
        <v>72</v>
      </c>
      <c r="I32" s="55"/>
      <c r="J32" s="55"/>
      <c r="K32" s="186">
        <f t="shared" si="2"/>
        <v>807</v>
      </c>
      <c r="L32" s="192">
        <v>0.0007048611111111111</v>
      </c>
      <c r="M32" s="188"/>
      <c r="N32" s="189" t="str">
        <f t="shared" si="3"/>
        <v>II A</v>
      </c>
      <c r="O32" s="55" t="s">
        <v>156</v>
      </c>
      <c r="P32" s="190" t="s">
        <v>422</v>
      </c>
      <c r="Q32" s="190"/>
      <c r="R32" s="191">
        <v>3</v>
      </c>
      <c r="S32" s="24">
        <v>2</v>
      </c>
    </row>
    <row r="33" spans="1:19" ht="13.5" customHeight="1">
      <c r="A33" s="50">
        <v>7</v>
      </c>
      <c r="B33" s="51"/>
      <c r="C33" s="51" t="s">
        <v>423</v>
      </c>
      <c r="D33" s="52" t="s">
        <v>424</v>
      </c>
      <c r="E33" s="53" t="s">
        <v>425</v>
      </c>
      <c r="F33" s="54" t="s">
        <v>426</v>
      </c>
      <c r="G33" s="55" t="s">
        <v>71</v>
      </c>
      <c r="H33" s="55" t="s">
        <v>72</v>
      </c>
      <c r="I33" s="55"/>
      <c r="J33" s="55"/>
      <c r="K33" s="186">
        <f t="shared" si="2"/>
        <v>799</v>
      </c>
      <c r="L33" s="192">
        <v>0.0007078703703703704</v>
      </c>
      <c r="M33" s="188"/>
      <c r="N33" s="189" t="str">
        <f t="shared" si="3"/>
        <v>II A</v>
      </c>
      <c r="O33" s="55" t="s">
        <v>427</v>
      </c>
      <c r="P33" s="190" t="s">
        <v>428</v>
      </c>
      <c r="Q33" s="190"/>
      <c r="R33" s="191">
        <v>3</v>
      </c>
      <c r="S33" s="24">
        <v>3</v>
      </c>
    </row>
    <row r="34" spans="1:19" ht="13.5" customHeight="1">
      <c r="A34" s="50">
        <v>8</v>
      </c>
      <c r="B34" s="194"/>
      <c r="C34" s="51" t="s">
        <v>429</v>
      </c>
      <c r="D34" s="52" t="s">
        <v>430</v>
      </c>
      <c r="E34" s="53" t="s">
        <v>431</v>
      </c>
      <c r="F34" s="54" t="s">
        <v>432</v>
      </c>
      <c r="G34" s="55" t="s">
        <v>83</v>
      </c>
      <c r="H34" s="55"/>
      <c r="I34" s="55"/>
      <c r="J34" s="55" t="s">
        <v>85</v>
      </c>
      <c r="K34" s="186">
        <f t="shared" si="2"/>
        <v>770</v>
      </c>
      <c r="L34" s="192">
        <v>0.0007179398148148149</v>
      </c>
      <c r="M34" s="188"/>
      <c r="N34" s="189" t="str">
        <f t="shared" si="3"/>
        <v>II A</v>
      </c>
      <c r="O34" s="55" t="s">
        <v>433</v>
      </c>
      <c r="P34" s="190" t="s">
        <v>434</v>
      </c>
      <c r="Q34" s="190"/>
      <c r="R34" s="191">
        <v>3</v>
      </c>
      <c r="S34" s="24">
        <v>8</v>
      </c>
    </row>
    <row r="35" ht="3.75" customHeight="1">
      <c r="J35" s="176"/>
    </row>
    <row r="36" spans="3:8" ht="13.5" thickBot="1">
      <c r="C36" s="33"/>
      <c r="D36" s="34"/>
      <c r="E36" s="35">
        <v>4</v>
      </c>
      <c r="F36" s="36" t="s">
        <v>332</v>
      </c>
      <c r="G36" s="37">
        <v>4</v>
      </c>
      <c r="H36" s="38"/>
    </row>
    <row r="37" spans="1:17" s="185" customFormat="1" ht="13.5" thickBot="1">
      <c r="A37" s="177" t="s">
        <v>358</v>
      </c>
      <c r="B37" s="43" t="s">
        <v>17</v>
      </c>
      <c r="C37" s="178" t="s">
        <v>4</v>
      </c>
      <c r="D37" s="179" t="s">
        <v>5</v>
      </c>
      <c r="E37" s="180" t="s">
        <v>6</v>
      </c>
      <c r="F37" s="181" t="s">
        <v>7</v>
      </c>
      <c r="G37" s="160" t="s">
        <v>8</v>
      </c>
      <c r="H37" s="160" t="s">
        <v>9</v>
      </c>
      <c r="I37" s="160" t="s">
        <v>10</v>
      </c>
      <c r="J37" s="160" t="s">
        <v>11</v>
      </c>
      <c r="K37" s="160" t="s">
        <v>12</v>
      </c>
      <c r="L37" s="160" t="s">
        <v>13</v>
      </c>
      <c r="M37" s="182" t="s">
        <v>294</v>
      </c>
      <c r="N37" s="183" t="s">
        <v>14</v>
      </c>
      <c r="O37" s="184" t="s">
        <v>15</v>
      </c>
      <c r="P37" s="20" t="s">
        <v>18</v>
      </c>
      <c r="Q37" s="175" t="s">
        <v>16</v>
      </c>
    </row>
    <row r="38" spans="1:19" ht="12.75">
      <c r="A38" s="50">
        <v>1</v>
      </c>
      <c r="B38" s="194"/>
      <c r="C38" s="51">
        <v>262</v>
      </c>
      <c r="D38" s="52" t="s">
        <v>435</v>
      </c>
      <c r="E38" s="53" t="s">
        <v>425</v>
      </c>
      <c r="F38" s="54" t="s">
        <v>436</v>
      </c>
      <c r="G38" s="55" t="s">
        <v>83</v>
      </c>
      <c r="H38" s="55" t="s">
        <v>237</v>
      </c>
      <c r="I38" s="55" t="s">
        <v>164</v>
      </c>
      <c r="J38" s="55" t="s">
        <v>437</v>
      </c>
      <c r="K38" s="186">
        <f aca="true" t="shared" si="4" ref="K38:K44">IF(ISBLANK(L38),"",TRUNC(0.335*((L38/$J$5)-110)^2))</f>
        <v>1035</v>
      </c>
      <c r="L38" s="187">
        <v>0.0006297453703703704</v>
      </c>
      <c r="M38" s="188"/>
      <c r="N38" s="189" t="str">
        <f aca="true" t="shared" si="5" ref="N38:N44">IF(ISBLANK(L38),"",IF(L38&gt;0.000811805555555556,"",IF(L38&lt;=0.000605324074074074,"TSM",IF(L38&lt;=0.000626736111111111,"SM",IF(L38&lt;=0.000659722222222222,"KSM",IF(L38&lt;=0.000695601851851852,"I A",IF(L38&lt;=0.000742361111111111,"II A",IF(L38&lt;=0.000811805555555556,"III A"))))))))</f>
        <v>KSM</v>
      </c>
      <c r="O38" s="55" t="s">
        <v>438</v>
      </c>
      <c r="P38" s="195"/>
      <c r="Q38" s="190">
        <v>54.07</v>
      </c>
      <c r="R38" s="191">
        <v>4</v>
      </c>
      <c r="S38" s="24">
        <v>4</v>
      </c>
    </row>
    <row r="39" spans="1:19" ht="13.5" customHeight="1">
      <c r="A39" s="50">
        <v>2</v>
      </c>
      <c r="B39" s="51"/>
      <c r="C39" s="51">
        <v>77</v>
      </c>
      <c r="D39" s="52" t="s">
        <v>439</v>
      </c>
      <c r="E39" s="53" t="s">
        <v>440</v>
      </c>
      <c r="F39" s="54" t="s">
        <v>441</v>
      </c>
      <c r="G39" s="55" t="s">
        <v>132</v>
      </c>
      <c r="H39" s="55" t="s">
        <v>131</v>
      </c>
      <c r="I39" s="55" t="s">
        <v>172</v>
      </c>
      <c r="J39" s="55"/>
      <c r="K39" s="186">
        <f t="shared" si="4"/>
        <v>992</v>
      </c>
      <c r="L39" s="187">
        <v>0.0006430555555555556</v>
      </c>
      <c r="M39" s="188"/>
      <c r="N39" s="189" t="str">
        <f t="shared" si="5"/>
        <v>KSM</v>
      </c>
      <c r="O39" s="55" t="s">
        <v>412</v>
      </c>
      <c r="P39" s="190" t="s">
        <v>442</v>
      </c>
      <c r="Q39" s="190"/>
      <c r="R39" s="191">
        <v>4</v>
      </c>
      <c r="S39" s="24">
        <v>3</v>
      </c>
    </row>
    <row r="40" spans="1:19" ht="13.5" customHeight="1">
      <c r="A40" s="50">
        <v>3</v>
      </c>
      <c r="B40" s="51"/>
      <c r="C40" s="51">
        <v>193</v>
      </c>
      <c r="D40" s="52" t="s">
        <v>414</v>
      </c>
      <c r="E40" s="53" t="s">
        <v>443</v>
      </c>
      <c r="F40" s="54" t="s">
        <v>444</v>
      </c>
      <c r="G40" s="55" t="s">
        <v>43</v>
      </c>
      <c r="H40" s="55" t="s">
        <v>148</v>
      </c>
      <c r="I40" s="55" t="s">
        <v>65</v>
      </c>
      <c r="J40" s="55"/>
      <c r="K40" s="186">
        <f t="shared" si="4"/>
        <v>985</v>
      </c>
      <c r="L40" s="187">
        <v>0.0006454861111111112</v>
      </c>
      <c r="M40" s="188"/>
      <c r="N40" s="189" t="str">
        <f t="shared" si="5"/>
        <v>KSM</v>
      </c>
      <c r="O40" s="55" t="s">
        <v>445</v>
      </c>
      <c r="P40" s="195"/>
      <c r="Q40" s="190"/>
      <c r="R40" s="191">
        <v>4</v>
      </c>
      <c r="S40" s="24">
        <v>5</v>
      </c>
    </row>
    <row r="41" spans="1:19" ht="13.5" customHeight="1">
      <c r="A41" s="50">
        <v>4</v>
      </c>
      <c r="B41" s="51"/>
      <c r="C41" s="51">
        <v>88</v>
      </c>
      <c r="D41" s="52" t="s">
        <v>446</v>
      </c>
      <c r="E41" s="53" t="s">
        <v>447</v>
      </c>
      <c r="F41" s="54" t="s">
        <v>448</v>
      </c>
      <c r="G41" s="55" t="s">
        <v>71</v>
      </c>
      <c r="H41" s="55" t="s">
        <v>72</v>
      </c>
      <c r="I41" s="55" t="s">
        <v>189</v>
      </c>
      <c r="J41" s="55"/>
      <c r="K41" s="186">
        <f t="shared" si="4"/>
        <v>893</v>
      </c>
      <c r="L41" s="187">
        <v>0.0006753472222222223</v>
      </c>
      <c r="M41" s="188"/>
      <c r="N41" s="189" t="str">
        <f t="shared" si="5"/>
        <v>I A</v>
      </c>
      <c r="O41" s="55" t="s">
        <v>357</v>
      </c>
      <c r="P41" s="190" t="s">
        <v>449</v>
      </c>
      <c r="Q41" s="190"/>
      <c r="R41" s="191">
        <v>4</v>
      </c>
      <c r="S41" s="24">
        <v>7</v>
      </c>
    </row>
    <row r="42" spans="1:19" ht="13.5" customHeight="1">
      <c r="A42" s="50">
        <v>5</v>
      </c>
      <c r="B42" s="51"/>
      <c r="C42" s="51" t="s">
        <v>450</v>
      </c>
      <c r="D42" s="52" t="s">
        <v>252</v>
      </c>
      <c r="E42" s="53" t="s">
        <v>451</v>
      </c>
      <c r="F42" s="54" t="s">
        <v>452</v>
      </c>
      <c r="G42" s="55" t="s">
        <v>90</v>
      </c>
      <c r="H42" s="55" t="s">
        <v>9</v>
      </c>
      <c r="I42" s="55"/>
      <c r="J42" s="55"/>
      <c r="K42" s="186">
        <f t="shared" si="4"/>
        <v>885</v>
      </c>
      <c r="L42" s="187">
        <v>0.000678125</v>
      </c>
      <c r="M42" s="188"/>
      <c r="N42" s="189" t="str">
        <f t="shared" si="5"/>
        <v>I A</v>
      </c>
      <c r="O42" s="55" t="s">
        <v>91</v>
      </c>
      <c r="P42" s="190"/>
      <c r="Q42" s="190" t="s">
        <v>453</v>
      </c>
      <c r="R42" s="191">
        <v>4</v>
      </c>
      <c r="S42" s="24">
        <v>6</v>
      </c>
    </row>
    <row r="43" spans="1:19" ht="13.5" customHeight="1">
      <c r="A43" s="50">
        <v>6</v>
      </c>
      <c r="B43" s="51"/>
      <c r="C43" s="51">
        <v>91</v>
      </c>
      <c r="D43" s="52" t="s">
        <v>454</v>
      </c>
      <c r="E43" s="53" t="s">
        <v>455</v>
      </c>
      <c r="F43" s="54" t="s">
        <v>456</v>
      </c>
      <c r="G43" s="55" t="s">
        <v>71</v>
      </c>
      <c r="H43" s="55" t="s">
        <v>72</v>
      </c>
      <c r="I43" s="55" t="s">
        <v>172</v>
      </c>
      <c r="J43" s="55"/>
      <c r="K43" s="186">
        <f t="shared" si="4"/>
        <v>853</v>
      </c>
      <c r="L43" s="187">
        <v>0.0006887731481481481</v>
      </c>
      <c r="M43" s="188"/>
      <c r="N43" s="189" t="str">
        <f t="shared" si="5"/>
        <v>I A</v>
      </c>
      <c r="O43" s="55" t="s">
        <v>357</v>
      </c>
      <c r="P43" s="190" t="s">
        <v>457</v>
      </c>
      <c r="Q43" s="190"/>
      <c r="R43" s="191">
        <v>4</v>
      </c>
      <c r="S43" s="24">
        <v>8</v>
      </c>
    </row>
    <row r="44" spans="1:19" ht="13.5" customHeight="1">
      <c r="A44" s="50">
        <v>7</v>
      </c>
      <c r="B44" s="194"/>
      <c r="C44" s="51">
        <v>135</v>
      </c>
      <c r="D44" s="52" t="s">
        <v>249</v>
      </c>
      <c r="E44" s="53" t="s">
        <v>458</v>
      </c>
      <c r="F44" s="54" t="s">
        <v>459</v>
      </c>
      <c r="G44" s="55" t="s">
        <v>71</v>
      </c>
      <c r="H44" s="55" t="s">
        <v>72</v>
      </c>
      <c r="I44" s="55"/>
      <c r="J44" s="55" t="s">
        <v>23</v>
      </c>
      <c r="K44" s="186">
        <f t="shared" si="4"/>
        <v>763</v>
      </c>
      <c r="L44" s="192">
        <v>0.0007204861111111111</v>
      </c>
      <c r="M44" s="188"/>
      <c r="N44" s="189" t="str">
        <f t="shared" si="5"/>
        <v>II A</v>
      </c>
      <c r="O44" s="55" t="s">
        <v>74</v>
      </c>
      <c r="P44" s="190"/>
      <c r="Q44" s="190" t="s">
        <v>460</v>
      </c>
      <c r="R44" s="191">
        <v>4</v>
      </c>
      <c r="S44" s="24">
        <v>1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5.140625" style="28" customWidth="1"/>
    <col min="2" max="2" width="2.8515625" style="28" customWidth="1"/>
    <col min="3" max="3" width="5.140625" style="28" hidden="1" customWidth="1"/>
    <col min="4" max="4" width="9.421875" style="23" customWidth="1"/>
    <col min="5" max="5" width="19.28125" style="24" customWidth="1"/>
    <col min="6" max="6" width="9.28125" style="25" customWidth="1"/>
    <col min="7" max="7" width="10.421875" style="24" customWidth="1"/>
    <col min="8" max="8" width="7.421875" style="24" customWidth="1"/>
    <col min="9" max="9" width="12.851562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00390625" style="26" hidden="1" customWidth="1"/>
    <col min="14" max="14" width="4.421875" style="6" customWidth="1"/>
    <col min="15" max="15" width="25.28125" style="24" customWidth="1"/>
    <col min="16" max="16" width="5.8515625" style="9" hidden="1" customWidth="1"/>
    <col min="17" max="17" width="5.8515625" style="174" hidden="1" customWidth="1"/>
    <col min="18" max="19" width="2.00390625" style="24" hidden="1" customWidth="1"/>
    <col min="20" max="20" width="0" style="24" hidden="1" customWidth="1"/>
    <col min="21" max="16384" width="9.140625" style="24" customWidth="1"/>
  </cols>
  <sheetData>
    <row r="1" spans="1:17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6"/>
      <c r="P1" s="9"/>
      <c r="Q1" s="174"/>
    </row>
    <row r="2" spans="1:17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6"/>
      <c r="O2" s="18" t="s">
        <v>2</v>
      </c>
      <c r="P2" s="20"/>
      <c r="Q2" s="175"/>
    </row>
    <row r="3" spans="1:15" ht="15" customHeight="1">
      <c r="A3" s="22"/>
      <c r="B3" s="22"/>
      <c r="C3" s="22"/>
      <c r="O3" s="27" t="s">
        <v>1236</v>
      </c>
    </row>
    <row r="4" spans="4:15" ht="15.75" customHeight="1">
      <c r="D4" s="29" t="s">
        <v>331</v>
      </c>
      <c r="F4" s="30"/>
      <c r="O4" s="31"/>
    </row>
    <row r="5" ht="3.75" customHeight="1">
      <c r="J5" s="176">
        <v>1.1574074074074073E-05</v>
      </c>
    </row>
    <row r="6" spans="3:8" ht="13.5" thickBot="1">
      <c r="C6" s="33"/>
      <c r="D6" s="34"/>
      <c r="E6" s="35"/>
      <c r="F6" s="36" t="s">
        <v>461</v>
      </c>
      <c r="G6" s="37"/>
      <c r="H6" s="38"/>
    </row>
    <row r="7" spans="1:17" s="185" customFormat="1" ht="13.5" thickBot="1">
      <c r="A7" s="177" t="s">
        <v>109</v>
      </c>
      <c r="B7" s="43" t="s">
        <v>17</v>
      </c>
      <c r="C7" s="178" t="s">
        <v>4</v>
      </c>
      <c r="D7" s="179" t="s">
        <v>5</v>
      </c>
      <c r="E7" s="180" t="s">
        <v>6</v>
      </c>
      <c r="F7" s="181" t="s">
        <v>7</v>
      </c>
      <c r="G7" s="160" t="s">
        <v>8</v>
      </c>
      <c r="H7" s="160" t="s">
        <v>9</v>
      </c>
      <c r="I7" s="160" t="s">
        <v>10</v>
      </c>
      <c r="J7" s="160" t="s">
        <v>11</v>
      </c>
      <c r="K7" s="160" t="s">
        <v>12</v>
      </c>
      <c r="L7" s="160" t="s">
        <v>13</v>
      </c>
      <c r="M7" s="182" t="s">
        <v>294</v>
      </c>
      <c r="N7" s="183" t="s">
        <v>14</v>
      </c>
      <c r="O7" s="184" t="s">
        <v>15</v>
      </c>
      <c r="P7" s="20" t="s">
        <v>18</v>
      </c>
      <c r="Q7" s="175" t="s">
        <v>16</v>
      </c>
    </row>
    <row r="8" spans="1:19" ht="12.75">
      <c r="A8" s="50">
        <v>1</v>
      </c>
      <c r="B8" s="51">
        <v>1</v>
      </c>
      <c r="C8" s="51">
        <v>262</v>
      </c>
      <c r="D8" s="52" t="s">
        <v>435</v>
      </c>
      <c r="E8" s="53" t="s">
        <v>425</v>
      </c>
      <c r="F8" s="54" t="s">
        <v>436</v>
      </c>
      <c r="G8" s="55" t="s">
        <v>83</v>
      </c>
      <c r="H8" s="55" t="s">
        <v>237</v>
      </c>
      <c r="I8" s="55" t="s">
        <v>164</v>
      </c>
      <c r="J8" s="55" t="s">
        <v>437</v>
      </c>
      <c r="K8" s="186">
        <f aca="true" t="shared" si="0" ref="K8:K35">IF(ISBLANK(L8),"",TRUNC(0.335*((L8/$J$5)-110)^2))</f>
        <v>1035</v>
      </c>
      <c r="L8" s="187">
        <v>0.0006297453703703704</v>
      </c>
      <c r="M8" s="188"/>
      <c r="N8" s="189" t="str">
        <f aca="true" t="shared" si="1" ref="N8:N35">IF(ISBLANK(L8),"",IF(L8&gt;0.000811805555555556,"",IF(L8&lt;=0.000605324074074074,"TSM",IF(L8&lt;=0.000626736111111111,"SM",IF(L8&lt;=0.000659722222222222,"KSM",IF(L8&lt;=0.000695601851851852,"I A",IF(L8&lt;=0.000742361111111111,"II A",IF(L8&lt;=0.000811805555555556,"III A"))))))))</f>
        <v>KSM</v>
      </c>
      <c r="O8" s="55" t="s">
        <v>438</v>
      </c>
      <c r="P8" s="195"/>
      <c r="Q8" s="190">
        <v>54.07</v>
      </c>
      <c r="R8" s="191">
        <v>4</v>
      </c>
      <c r="S8" s="24">
        <v>4</v>
      </c>
    </row>
    <row r="9" spans="1:19" ht="13.5" customHeight="1">
      <c r="A9" s="50">
        <v>2</v>
      </c>
      <c r="B9" s="51"/>
      <c r="C9" s="51">
        <v>77</v>
      </c>
      <c r="D9" s="52" t="s">
        <v>439</v>
      </c>
      <c r="E9" s="53" t="s">
        <v>440</v>
      </c>
      <c r="F9" s="54" t="s">
        <v>441</v>
      </c>
      <c r="G9" s="55" t="s">
        <v>132</v>
      </c>
      <c r="H9" s="55" t="s">
        <v>131</v>
      </c>
      <c r="I9" s="55" t="s">
        <v>172</v>
      </c>
      <c r="J9" s="55"/>
      <c r="K9" s="186">
        <f t="shared" si="0"/>
        <v>992</v>
      </c>
      <c r="L9" s="187">
        <v>0.0006430555555555556</v>
      </c>
      <c r="M9" s="188"/>
      <c r="N9" s="189" t="str">
        <f t="shared" si="1"/>
        <v>KSM</v>
      </c>
      <c r="O9" s="55" t="s">
        <v>412</v>
      </c>
      <c r="P9" s="190" t="s">
        <v>442</v>
      </c>
      <c r="Q9" s="190"/>
      <c r="R9" s="191">
        <v>4</v>
      </c>
      <c r="S9" s="24">
        <v>3</v>
      </c>
    </row>
    <row r="10" spans="1:19" ht="13.5" customHeight="1">
      <c r="A10" s="50">
        <v>3</v>
      </c>
      <c r="B10" s="51"/>
      <c r="C10" s="51">
        <v>193</v>
      </c>
      <c r="D10" s="52" t="s">
        <v>414</v>
      </c>
      <c r="E10" s="53" t="s">
        <v>443</v>
      </c>
      <c r="F10" s="54" t="s">
        <v>444</v>
      </c>
      <c r="G10" s="55" t="s">
        <v>43</v>
      </c>
      <c r="H10" s="55" t="s">
        <v>148</v>
      </c>
      <c r="I10" s="55" t="s">
        <v>65</v>
      </c>
      <c r="J10" s="55"/>
      <c r="K10" s="186">
        <f t="shared" si="0"/>
        <v>985</v>
      </c>
      <c r="L10" s="187">
        <v>0.0006454861111111112</v>
      </c>
      <c r="M10" s="188"/>
      <c r="N10" s="189" t="str">
        <f t="shared" si="1"/>
        <v>KSM</v>
      </c>
      <c r="O10" s="55" t="s">
        <v>445</v>
      </c>
      <c r="P10" s="195"/>
      <c r="Q10" s="190"/>
      <c r="R10" s="191">
        <v>4</v>
      </c>
      <c r="S10" s="24">
        <v>5</v>
      </c>
    </row>
    <row r="11" spans="1:19" ht="13.5" customHeight="1">
      <c r="A11" s="50">
        <v>4</v>
      </c>
      <c r="B11" s="51"/>
      <c r="C11" s="51">
        <v>88</v>
      </c>
      <c r="D11" s="52" t="s">
        <v>446</v>
      </c>
      <c r="E11" s="53" t="s">
        <v>447</v>
      </c>
      <c r="F11" s="54" t="s">
        <v>448</v>
      </c>
      <c r="G11" s="55" t="s">
        <v>71</v>
      </c>
      <c r="H11" s="55" t="s">
        <v>72</v>
      </c>
      <c r="I11" s="55" t="s">
        <v>189</v>
      </c>
      <c r="J11" s="55"/>
      <c r="K11" s="186">
        <f t="shared" si="0"/>
        <v>893</v>
      </c>
      <c r="L11" s="187">
        <v>0.0006753472222222223</v>
      </c>
      <c r="M11" s="188"/>
      <c r="N11" s="189" t="str">
        <f t="shared" si="1"/>
        <v>I A</v>
      </c>
      <c r="O11" s="55" t="s">
        <v>357</v>
      </c>
      <c r="P11" s="190" t="s">
        <v>449</v>
      </c>
      <c r="Q11" s="190"/>
      <c r="R11" s="191">
        <v>4</v>
      </c>
      <c r="S11" s="24">
        <v>7</v>
      </c>
    </row>
    <row r="12" spans="1:19" ht="13.5" customHeight="1">
      <c r="A12" s="50">
        <v>5</v>
      </c>
      <c r="B12" s="51"/>
      <c r="C12" s="51" t="s">
        <v>450</v>
      </c>
      <c r="D12" s="52" t="s">
        <v>252</v>
      </c>
      <c r="E12" s="53" t="s">
        <v>451</v>
      </c>
      <c r="F12" s="54" t="s">
        <v>452</v>
      </c>
      <c r="G12" s="55" t="s">
        <v>90</v>
      </c>
      <c r="H12" s="55" t="s">
        <v>9</v>
      </c>
      <c r="I12" s="55"/>
      <c r="J12" s="55"/>
      <c r="K12" s="186">
        <f t="shared" si="0"/>
        <v>885</v>
      </c>
      <c r="L12" s="187">
        <v>0.000678125</v>
      </c>
      <c r="M12" s="188"/>
      <c r="N12" s="189" t="str">
        <f t="shared" si="1"/>
        <v>I A</v>
      </c>
      <c r="O12" s="55" t="s">
        <v>91</v>
      </c>
      <c r="P12" s="190"/>
      <c r="Q12" s="190" t="s">
        <v>453</v>
      </c>
      <c r="R12" s="191">
        <v>4</v>
      </c>
      <c r="S12" s="24">
        <v>6</v>
      </c>
    </row>
    <row r="13" spans="1:19" ht="13.5" customHeight="1">
      <c r="A13" s="50">
        <v>6</v>
      </c>
      <c r="B13" s="51"/>
      <c r="C13" s="51">
        <v>259</v>
      </c>
      <c r="D13" s="52" t="s">
        <v>397</v>
      </c>
      <c r="E13" s="53" t="s">
        <v>144</v>
      </c>
      <c r="F13" s="54" t="s">
        <v>143</v>
      </c>
      <c r="G13" s="55" t="s">
        <v>142</v>
      </c>
      <c r="H13" s="55" t="s">
        <v>141</v>
      </c>
      <c r="I13" s="55" t="s">
        <v>130</v>
      </c>
      <c r="J13" s="55"/>
      <c r="K13" s="186">
        <f t="shared" si="0"/>
        <v>878</v>
      </c>
      <c r="L13" s="187">
        <v>0.0006805555555555554</v>
      </c>
      <c r="M13" s="188"/>
      <c r="N13" s="189" t="str">
        <f t="shared" si="1"/>
        <v>I A</v>
      </c>
      <c r="O13" s="55" t="s">
        <v>140</v>
      </c>
      <c r="P13" s="190" t="s">
        <v>398</v>
      </c>
      <c r="Q13" s="190"/>
      <c r="R13" s="191">
        <v>3</v>
      </c>
      <c r="S13" s="24">
        <v>4</v>
      </c>
    </row>
    <row r="14" spans="1:19" ht="13.5" customHeight="1">
      <c r="A14" s="50">
        <v>7</v>
      </c>
      <c r="B14" s="51"/>
      <c r="C14" s="51">
        <v>91</v>
      </c>
      <c r="D14" s="52" t="s">
        <v>454</v>
      </c>
      <c r="E14" s="53" t="s">
        <v>455</v>
      </c>
      <c r="F14" s="54" t="s">
        <v>456</v>
      </c>
      <c r="G14" s="55" t="s">
        <v>71</v>
      </c>
      <c r="H14" s="55" t="s">
        <v>72</v>
      </c>
      <c r="I14" s="55" t="s">
        <v>172</v>
      </c>
      <c r="J14" s="55"/>
      <c r="K14" s="186">
        <f t="shared" si="0"/>
        <v>853</v>
      </c>
      <c r="L14" s="187">
        <v>0.0006887731481481481</v>
      </c>
      <c r="M14" s="188"/>
      <c r="N14" s="189" t="str">
        <f t="shared" si="1"/>
        <v>I A</v>
      </c>
      <c r="O14" s="55" t="s">
        <v>357</v>
      </c>
      <c r="P14" s="190" t="s">
        <v>457</v>
      </c>
      <c r="Q14" s="190"/>
      <c r="R14" s="191">
        <v>4</v>
      </c>
      <c r="S14" s="24">
        <v>8</v>
      </c>
    </row>
    <row r="15" spans="1:19" ht="13.5" customHeight="1">
      <c r="A15" s="50">
        <v>8</v>
      </c>
      <c r="B15" s="51"/>
      <c r="C15" s="51" t="s">
        <v>333</v>
      </c>
      <c r="D15" s="52" t="s">
        <v>206</v>
      </c>
      <c r="E15" s="53" t="s">
        <v>334</v>
      </c>
      <c r="F15" s="54" t="s">
        <v>335</v>
      </c>
      <c r="G15" s="55" t="s">
        <v>336</v>
      </c>
      <c r="H15" s="55" t="s">
        <v>337</v>
      </c>
      <c r="I15" s="55" t="s">
        <v>130</v>
      </c>
      <c r="J15" s="55"/>
      <c r="K15" s="186">
        <f t="shared" si="0"/>
        <v>848</v>
      </c>
      <c r="L15" s="187">
        <v>0.0006906249999999999</v>
      </c>
      <c r="M15" s="188"/>
      <c r="N15" s="189" t="str">
        <f t="shared" si="1"/>
        <v>I A</v>
      </c>
      <c r="O15" s="55" t="s">
        <v>338</v>
      </c>
      <c r="P15" s="190"/>
      <c r="Q15" s="190"/>
      <c r="R15" s="191">
        <v>1</v>
      </c>
      <c r="S15" s="24">
        <v>4</v>
      </c>
    </row>
    <row r="16" spans="1:19" ht="12.75">
      <c r="A16" s="50">
        <v>9</v>
      </c>
      <c r="B16" s="51">
        <v>2</v>
      </c>
      <c r="C16" s="51" t="s">
        <v>399</v>
      </c>
      <c r="D16" s="52" t="s">
        <v>192</v>
      </c>
      <c r="E16" s="53" t="s">
        <v>400</v>
      </c>
      <c r="F16" s="54" t="s">
        <v>401</v>
      </c>
      <c r="G16" s="55" t="s">
        <v>22</v>
      </c>
      <c r="H16" s="55"/>
      <c r="I16" s="55" t="s">
        <v>45</v>
      </c>
      <c r="J16" s="55" t="s">
        <v>107</v>
      </c>
      <c r="K16" s="186">
        <f t="shared" si="0"/>
        <v>839</v>
      </c>
      <c r="L16" s="187">
        <v>0.0006938657407407409</v>
      </c>
      <c r="M16" s="188"/>
      <c r="N16" s="189" t="str">
        <f t="shared" si="1"/>
        <v>I A</v>
      </c>
      <c r="O16" s="55" t="s">
        <v>402</v>
      </c>
      <c r="P16" s="190" t="s">
        <v>403</v>
      </c>
      <c r="Q16" s="190"/>
      <c r="R16" s="191">
        <v>3</v>
      </c>
      <c r="S16" s="24">
        <v>1</v>
      </c>
    </row>
    <row r="17" spans="1:19" ht="13.5" customHeight="1">
      <c r="A17" s="50">
        <v>10</v>
      </c>
      <c r="B17" s="51"/>
      <c r="C17" s="51">
        <v>160</v>
      </c>
      <c r="D17" s="52" t="s">
        <v>404</v>
      </c>
      <c r="E17" s="53" t="s">
        <v>405</v>
      </c>
      <c r="F17" s="54" t="s">
        <v>406</v>
      </c>
      <c r="G17" s="55" t="s">
        <v>407</v>
      </c>
      <c r="H17" s="55" t="s">
        <v>96</v>
      </c>
      <c r="I17" s="55" t="s">
        <v>97</v>
      </c>
      <c r="J17" s="55"/>
      <c r="K17" s="186">
        <f t="shared" si="0"/>
        <v>816</v>
      </c>
      <c r="L17" s="192">
        <v>0.0007018518518518518</v>
      </c>
      <c r="M17" s="188"/>
      <c r="N17" s="189" t="str">
        <f t="shared" si="1"/>
        <v>II A</v>
      </c>
      <c r="O17" s="55" t="s">
        <v>98</v>
      </c>
      <c r="P17" s="190" t="s">
        <v>408</v>
      </c>
      <c r="Q17" s="190"/>
      <c r="R17" s="191">
        <v>3</v>
      </c>
      <c r="S17" s="24">
        <v>6</v>
      </c>
    </row>
    <row r="18" spans="1:19" ht="13.5" customHeight="1">
      <c r="A18" s="50">
        <v>11</v>
      </c>
      <c r="B18" s="51"/>
      <c r="C18" s="51">
        <v>78</v>
      </c>
      <c r="D18" s="52" t="s">
        <v>409</v>
      </c>
      <c r="E18" s="53" t="s">
        <v>410</v>
      </c>
      <c r="F18" s="54" t="s">
        <v>411</v>
      </c>
      <c r="G18" s="55" t="s">
        <v>132</v>
      </c>
      <c r="H18" s="55"/>
      <c r="I18" s="55" t="s">
        <v>130</v>
      </c>
      <c r="J18" s="55"/>
      <c r="K18" s="186">
        <f t="shared" si="0"/>
        <v>814</v>
      </c>
      <c r="L18" s="192">
        <v>0.0007024305555555555</v>
      </c>
      <c r="M18" s="188"/>
      <c r="N18" s="189" t="str">
        <f t="shared" si="1"/>
        <v>II A</v>
      </c>
      <c r="O18" s="55" t="s">
        <v>412</v>
      </c>
      <c r="P18" s="190" t="s">
        <v>413</v>
      </c>
      <c r="Q18" s="190"/>
      <c r="R18" s="191">
        <v>3</v>
      </c>
      <c r="S18" s="24">
        <v>5</v>
      </c>
    </row>
    <row r="19" spans="1:19" ht="13.5" customHeight="1">
      <c r="A19" s="50">
        <v>12</v>
      </c>
      <c r="B19" s="51">
        <v>3</v>
      </c>
      <c r="C19" s="51">
        <v>79</v>
      </c>
      <c r="D19" s="52" t="s">
        <v>414</v>
      </c>
      <c r="E19" s="53" t="s">
        <v>415</v>
      </c>
      <c r="F19" s="54" t="s">
        <v>416</v>
      </c>
      <c r="G19" s="55" t="s">
        <v>132</v>
      </c>
      <c r="H19" s="55"/>
      <c r="I19" s="55" t="s">
        <v>130</v>
      </c>
      <c r="J19" s="55" t="s">
        <v>171</v>
      </c>
      <c r="K19" s="186">
        <f t="shared" si="0"/>
        <v>808</v>
      </c>
      <c r="L19" s="192">
        <v>0.000704513888888889</v>
      </c>
      <c r="M19" s="188"/>
      <c r="N19" s="189" t="str">
        <f t="shared" si="1"/>
        <v>II A</v>
      </c>
      <c r="O19" s="55" t="s">
        <v>170</v>
      </c>
      <c r="P19" s="190" t="s">
        <v>417</v>
      </c>
      <c r="Q19" s="190"/>
      <c r="R19" s="191">
        <v>3</v>
      </c>
      <c r="S19" s="24">
        <v>7</v>
      </c>
    </row>
    <row r="20" spans="1:19" ht="13.5" customHeight="1">
      <c r="A20" s="50">
        <v>12</v>
      </c>
      <c r="B20" s="51"/>
      <c r="C20" s="51" t="s">
        <v>339</v>
      </c>
      <c r="D20" s="52" t="s">
        <v>252</v>
      </c>
      <c r="E20" s="53" t="s">
        <v>340</v>
      </c>
      <c r="F20" s="54" t="s">
        <v>341</v>
      </c>
      <c r="G20" s="55" t="s">
        <v>342</v>
      </c>
      <c r="H20" s="55" t="s">
        <v>29</v>
      </c>
      <c r="I20" s="55" t="s">
        <v>30</v>
      </c>
      <c r="J20" s="55"/>
      <c r="K20" s="186">
        <f t="shared" si="0"/>
        <v>808</v>
      </c>
      <c r="L20" s="192">
        <v>0.000704513888888889</v>
      </c>
      <c r="M20" s="188"/>
      <c r="N20" s="189" t="str">
        <f t="shared" si="1"/>
        <v>II A</v>
      </c>
      <c r="O20" s="55" t="s">
        <v>343</v>
      </c>
      <c r="P20" s="190"/>
      <c r="Q20" s="190"/>
      <c r="R20" s="191">
        <v>1</v>
      </c>
      <c r="S20" s="24">
        <v>2</v>
      </c>
    </row>
    <row r="21" spans="1:19" ht="13.5" customHeight="1">
      <c r="A21" s="50">
        <v>14</v>
      </c>
      <c r="B21" s="51"/>
      <c r="C21" s="51" t="s">
        <v>418</v>
      </c>
      <c r="D21" s="52" t="s">
        <v>419</v>
      </c>
      <c r="E21" s="53" t="s">
        <v>420</v>
      </c>
      <c r="F21" s="54" t="s">
        <v>421</v>
      </c>
      <c r="G21" s="55" t="s">
        <v>71</v>
      </c>
      <c r="H21" s="55" t="s">
        <v>72</v>
      </c>
      <c r="I21" s="55"/>
      <c r="J21" s="55"/>
      <c r="K21" s="186">
        <f t="shared" si="0"/>
        <v>807</v>
      </c>
      <c r="L21" s="192">
        <v>0.0007048611111111111</v>
      </c>
      <c r="M21" s="188"/>
      <c r="N21" s="189" t="str">
        <f t="shared" si="1"/>
        <v>II A</v>
      </c>
      <c r="O21" s="55" t="s">
        <v>156</v>
      </c>
      <c r="P21" s="190" t="s">
        <v>422</v>
      </c>
      <c r="Q21" s="190"/>
      <c r="R21" s="191">
        <v>3</v>
      </c>
      <c r="S21" s="24">
        <v>2</v>
      </c>
    </row>
    <row r="22" spans="1:19" ht="13.5" customHeight="1">
      <c r="A22" s="50">
        <v>15</v>
      </c>
      <c r="B22" s="51"/>
      <c r="C22" s="51" t="s">
        <v>423</v>
      </c>
      <c r="D22" s="52" t="s">
        <v>424</v>
      </c>
      <c r="E22" s="53" t="s">
        <v>425</v>
      </c>
      <c r="F22" s="54" t="s">
        <v>426</v>
      </c>
      <c r="G22" s="55" t="s">
        <v>71</v>
      </c>
      <c r="H22" s="55" t="s">
        <v>72</v>
      </c>
      <c r="I22" s="55"/>
      <c r="J22" s="55"/>
      <c r="K22" s="186">
        <f t="shared" si="0"/>
        <v>799</v>
      </c>
      <c r="L22" s="192">
        <v>0.0007078703703703704</v>
      </c>
      <c r="M22" s="188"/>
      <c r="N22" s="189" t="str">
        <f t="shared" si="1"/>
        <v>II A</v>
      </c>
      <c r="O22" s="55" t="s">
        <v>427</v>
      </c>
      <c r="P22" s="190" t="s">
        <v>428</v>
      </c>
      <c r="Q22" s="190"/>
      <c r="R22" s="191">
        <v>3</v>
      </c>
      <c r="S22" s="24">
        <v>3</v>
      </c>
    </row>
    <row r="23" spans="1:19" ht="13.5" customHeight="1">
      <c r="A23" s="50">
        <v>16</v>
      </c>
      <c r="B23" s="51">
        <v>4</v>
      </c>
      <c r="C23" s="51" t="s">
        <v>429</v>
      </c>
      <c r="D23" s="52" t="s">
        <v>430</v>
      </c>
      <c r="E23" s="53" t="s">
        <v>431</v>
      </c>
      <c r="F23" s="54" t="s">
        <v>432</v>
      </c>
      <c r="G23" s="55" t="s">
        <v>83</v>
      </c>
      <c r="H23" s="55"/>
      <c r="I23" s="55"/>
      <c r="J23" s="55" t="s">
        <v>85</v>
      </c>
      <c r="K23" s="186">
        <f t="shared" si="0"/>
        <v>770</v>
      </c>
      <c r="L23" s="192">
        <v>0.0007179398148148149</v>
      </c>
      <c r="M23" s="188"/>
      <c r="N23" s="189" t="str">
        <f t="shared" si="1"/>
        <v>II A</v>
      </c>
      <c r="O23" s="55" t="s">
        <v>433</v>
      </c>
      <c r="P23" s="190" t="s">
        <v>434</v>
      </c>
      <c r="Q23" s="190"/>
      <c r="R23" s="191">
        <v>3</v>
      </c>
      <c r="S23" s="24">
        <v>8</v>
      </c>
    </row>
    <row r="24" spans="1:19" ht="12.75">
      <c r="A24" s="50">
        <v>17</v>
      </c>
      <c r="B24" s="51">
        <v>5</v>
      </c>
      <c r="C24" s="51">
        <v>135</v>
      </c>
      <c r="D24" s="52" t="s">
        <v>249</v>
      </c>
      <c r="E24" s="53" t="s">
        <v>458</v>
      </c>
      <c r="F24" s="54" t="s">
        <v>459</v>
      </c>
      <c r="G24" s="55" t="s">
        <v>71</v>
      </c>
      <c r="H24" s="55" t="s">
        <v>72</v>
      </c>
      <c r="I24" s="55"/>
      <c r="J24" s="55" t="s">
        <v>23</v>
      </c>
      <c r="K24" s="186">
        <f t="shared" si="0"/>
        <v>763</v>
      </c>
      <c r="L24" s="192">
        <v>0.0007204861111111111</v>
      </c>
      <c r="M24" s="188"/>
      <c r="N24" s="189" t="str">
        <f t="shared" si="1"/>
        <v>II A</v>
      </c>
      <c r="O24" s="55" t="s">
        <v>74</v>
      </c>
      <c r="P24" s="190"/>
      <c r="Q24" s="190" t="s">
        <v>460</v>
      </c>
      <c r="R24" s="191">
        <v>4</v>
      </c>
      <c r="S24" s="24">
        <v>1</v>
      </c>
    </row>
    <row r="25" spans="1:19" ht="13.5" customHeight="1">
      <c r="A25" s="50">
        <v>18</v>
      </c>
      <c r="B25" s="51"/>
      <c r="C25" s="51">
        <v>191</v>
      </c>
      <c r="D25" s="52" t="s">
        <v>326</v>
      </c>
      <c r="E25" s="53" t="s">
        <v>359</v>
      </c>
      <c r="F25" s="54" t="s">
        <v>360</v>
      </c>
      <c r="G25" s="55" t="s">
        <v>43</v>
      </c>
      <c r="H25" s="55" t="s">
        <v>148</v>
      </c>
      <c r="I25" s="55" t="s">
        <v>361</v>
      </c>
      <c r="J25" s="55"/>
      <c r="K25" s="186">
        <f t="shared" si="0"/>
        <v>758</v>
      </c>
      <c r="L25" s="192">
        <v>0.0007224537037037038</v>
      </c>
      <c r="M25" s="188"/>
      <c r="N25" s="189" t="str">
        <f t="shared" si="1"/>
        <v>II A</v>
      </c>
      <c r="O25" s="55" t="s">
        <v>362</v>
      </c>
      <c r="P25" s="190" t="s">
        <v>363</v>
      </c>
      <c r="Q25" s="190"/>
      <c r="R25" s="191">
        <v>2</v>
      </c>
      <c r="S25" s="24">
        <v>3</v>
      </c>
    </row>
    <row r="26" spans="1:19" ht="13.5" customHeight="1">
      <c r="A26" s="50">
        <v>19</v>
      </c>
      <c r="B26" s="51">
        <v>6</v>
      </c>
      <c r="C26" s="51">
        <v>150</v>
      </c>
      <c r="D26" s="52" t="s">
        <v>364</v>
      </c>
      <c r="E26" s="53" t="s">
        <v>365</v>
      </c>
      <c r="F26" s="54" t="s">
        <v>366</v>
      </c>
      <c r="G26" s="55" t="s">
        <v>83</v>
      </c>
      <c r="H26" s="55"/>
      <c r="I26" s="55"/>
      <c r="J26" s="55" t="s">
        <v>85</v>
      </c>
      <c r="K26" s="186">
        <f t="shared" si="0"/>
        <v>748</v>
      </c>
      <c r="L26" s="192">
        <v>0.0007260416666666668</v>
      </c>
      <c r="M26" s="188"/>
      <c r="N26" s="189" t="str">
        <f t="shared" si="1"/>
        <v>II A</v>
      </c>
      <c r="O26" s="55" t="s">
        <v>367</v>
      </c>
      <c r="P26" s="190" t="s">
        <v>368</v>
      </c>
      <c r="Q26" s="190"/>
      <c r="R26" s="191">
        <v>2</v>
      </c>
      <c r="S26" s="24">
        <v>5</v>
      </c>
    </row>
    <row r="27" spans="1:19" ht="13.5" customHeight="1">
      <c r="A27" s="50">
        <v>20</v>
      </c>
      <c r="B27" s="51"/>
      <c r="C27" s="51">
        <v>139</v>
      </c>
      <c r="D27" s="52" t="s">
        <v>196</v>
      </c>
      <c r="E27" s="53" t="s">
        <v>344</v>
      </c>
      <c r="F27" s="54" t="s">
        <v>345</v>
      </c>
      <c r="G27" s="55" t="s">
        <v>83</v>
      </c>
      <c r="H27" s="55" t="s">
        <v>243</v>
      </c>
      <c r="I27" s="55" t="s">
        <v>346</v>
      </c>
      <c r="J27" s="55"/>
      <c r="K27" s="186">
        <f t="shared" si="0"/>
        <v>739</v>
      </c>
      <c r="L27" s="192">
        <v>0.0007295138888888889</v>
      </c>
      <c r="M27" s="188"/>
      <c r="N27" s="189" t="str">
        <f t="shared" si="1"/>
        <v>II A</v>
      </c>
      <c r="O27" s="193" t="s">
        <v>347</v>
      </c>
      <c r="P27" s="190"/>
      <c r="Q27" s="190"/>
      <c r="R27" s="191">
        <v>1</v>
      </c>
      <c r="S27" s="24">
        <v>7</v>
      </c>
    </row>
    <row r="28" spans="1:19" ht="13.5" customHeight="1">
      <c r="A28" s="50">
        <v>21</v>
      </c>
      <c r="B28" s="51"/>
      <c r="C28" s="51" t="s">
        <v>369</v>
      </c>
      <c r="D28" s="52" t="s">
        <v>249</v>
      </c>
      <c r="E28" s="53" t="s">
        <v>370</v>
      </c>
      <c r="F28" s="54" t="s">
        <v>371</v>
      </c>
      <c r="G28" s="55" t="s">
        <v>342</v>
      </c>
      <c r="H28" s="55" t="s">
        <v>29</v>
      </c>
      <c r="I28" s="55" t="s">
        <v>30</v>
      </c>
      <c r="J28" s="55"/>
      <c r="K28" s="186">
        <f t="shared" si="0"/>
        <v>737</v>
      </c>
      <c r="L28" s="192">
        <v>0.0007299768518518518</v>
      </c>
      <c r="M28" s="188"/>
      <c r="N28" s="189" t="str">
        <f t="shared" si="1"/>
        <v>II A</v>
      </c>
      <c r="O28" s="55" t="s">
        <v>372</v>
      </c>
      <c r="P28" s="190"/>
      <c r="Q28" s="190"/>
      <c r="R28" s="191">
        <v>2</v>
      </c>
      <c r="S28" s="24">
        <v>1</v>
      </c>
    </row>
    <row r="29" spans="1:19" ht="13.5" customHeight="1">
      <c r="A29" s="50">
        <v>22</v>
      </c>
      <c r="B29" s="51"/>
      <c r="C29" s="51" t="s">
        <v>348</v>
      </c>
      <c r="D29" s="52" t="s">
        <v>349</v>
      </c>
      <c r="E29" s="53" t="s">
        <v>350</v>
      </c>
      <c r="F29" s="54" t="s">
        <v>351</v>
      </c>
      <c r="G29" s="55" t="s">
        <v>352</v>
      </c>
      <c r="H29" s="55" t="s">
        <v>237</v>
      </c>
      <c r="I29" s="55"/>
      <c r="J29" s="55"/>
      <c r="K29" s="186">
        <f t="shared" si="0"/>
        <v>725</v>
      </c>
      <c r="L29" s="192">
        <v>0.0007343750000000001</v>
      </c>
      <c r="M29" s="188"/>
      <c r="N29" s="189" t="str">
        <f t="shared" si="1"/>
        <v>II A</v>
      </c>
      <c r="O29" s="55" t="s">
        <v>353</v>
      </c>
      <c r="P29" s="190"/>
      <c r="Q29" s="190"/>
      <c r="R29" s="191">
        <v>1</v>
      </c>
      <c r="S29" s="24">
        <v>6</v>
      </c>
    </row>
    <row r="30" spans="1:19" ht="13.5" customHeight="1">
      <c r="A30" s="50">
        <v>23</v>
      </c>
      <c r="B30" s="51"/>
      <c r="C30" s="51" t="s">
        <v>373</v>
      </c>
      <c r="D30" s="52" t="s">
        <v>374</v>
      </c>
      <c r="E30" s="53" t="s">
        <v>375</v>
      </c>
      <c r="F30" s="54" t="s">
        <v>376</v>
      </c>
      <c r="G30" s="55" t="s">
        <v>43</v>
      </c>
      <c r="H30" s="55" t="s">
        <v>44</v>
      </c>
      <c r="I30" s="55"/>
      <c r="J30" s="55"/>
      <c r="K30" s="186">
        <f t="shared" si="0"/>
        <v>723</v>
      </c>
      <c r="L30" s="192">
        <v>0.0007351851851851852</v>
      </c>
      <c r="M30" s="188"/>
      <c r="N30" s="189" t="str">
        <f t="shared" si="1"/>
        <v>II A</v>
      </c>
      <c r="O30" s="55" t="s">
        <v>46</v>
      </c>
      <c r="P30" s="190" t="s">
        <v>377</v>
      </c>
      <c r="Q30" s="190"/>
      <c r="R30" s="191">
        <v>2</v>
      </c>
      <c r="S30" s="24">
        <v>4</v>
      </c>
    </row>
    <row r="31" spans="1:19" ht="13.5" customHeight="1">
      <c r="A31" s="50">
        <v>24</v>
      </c>
      <c r="B31" s="51"/>
      <c r="C31" s="51">
        <v>89</v>
      </c>
      <c r="D31" s="52" t="s">
        <v>135</v>
      </c>
      <c r="E31" s="53" t="s">
        <v>354</v>
      </c>
      <c r="F31" s="54" t="s">
        <v>355</v>
      </c>
      <c r="G31" s="55" t="s">
        <v>71</v>
      </c>
      <c r="H31" s="55" t="s">
        <v>72</v>
      </c>
      <c r="I31" s="55" t="s">
        <v>356</v>
      </c>
      <c r="J31" s="55"/>
      <c r="K31" s="186">
        <f t="shared" si="0"/>
        <v>703</v>
      </c>
      <c r="L31" s="192">
        <v>0.0007425925925925925</v>
      </c>
      <c r="M31" s="188"/>
      <c r="N31" s="189" t="str">
        <f t="shared" si="1"/>
        <v>III A</v>
      </c>
      <c r="O31" s="55" t="s">
        <v>357</v>
      </c>
      <c r="P31" s="190"/>
      <c r="Q31" s="190"/>
      <c r="R31" s="191">
        <v>1</v>
      </c>
      <c r="S31" s="24">
        <v>8</v>
      </c>
    </row>
    <row r="32" spans="1:19" ht="13.5" customHeight="1">
      <c r="A32" s="50">
        <v>25</v>
      </c>
      <c r="B32" s="51">
        <v>7</v>
      </c>
      <c r="C32" s="51">
        <v>170</v>
      </c>
      <c r="D32" s="52" t="s">
        <v>139</v>
      </c>
      <c r="E32" s="53" t="s">
        <v>378</v>
      </c>
      <c r="F32" s="54" t="s">
        <v>379</v>
      </c>
      <c r="G32" s="55" t="s">
        <v>83</v>
      </c>
      <c r="H32" s="55"/>
      <c r="I32" s="55" t="s">
        <v>84</v>
      </c>
      <c r="J32" s="55" t="s">
        <v>102</v>
      </c>
      <c r="K32" s="186">
        <f t="shared" si="0"/>
        <v>698</v>
      </c>
      <c r="L32" s="192">
        <v>0.0007447916666666666</v>
      </c>
      <c r="M32" s="188"/>
      <c r="N32" s="189" t="str">
        <f t="shared" si="1"/>
        <v>III A</v>
      </c>
      <c r="O32" s="55" t="s">
        <v>380</v>
      </c>
      <c r="P32" s="190"/>
      <c r="Q32" s="190"/>
      <c r="R32" s="191">
        <v>2</v>
      </c>
      <c r="S32" s="24">
        <v>2</v>
      </c>
    </row>
    <row r="33" spans="1:19" ht="13.5" customHeight="1">
      <c r="A33" s="50">
        <v>26</v>
      </c>
      <c r="B33" s="51"/>
      <c r="C33" s="51">
        <v>162</v>
      </c>
      <c r="D33" s="52" t="s">
        <v>381</v>
      </c>
      <c r="E33" s="53" t="s">
        <v>382</v>
      </c>
      <c r="F33" s="54" t="s">
        <v>383</v>
      </c>
      <c r="G33" s="55" t="s">
        <v>95</v>
      </c>
      <c r="H33" s="55" t="s">
        <v>96</v>
      </c>
      <c r="I33" s="55" t="s">
        <v>97</v>
      </c>
      <c r="J33" s="55"/>
      <c r="K33" s="186">
        <f t="shared" si="0"/>
        <v>697</v>
      </c>
      <c r="L33" s="192">
        <v>0.0007449074074074073</v>
      </c>
      <c r="M33" s="188"/>
      <c r="N33" s="189" t="str">
        <f t="shared" si="1"/>
        <v>III A</v>
      </c>
      <c r="O33" s="55" t="s">
        <v>384</v>
      </c>
      <c r="P33" s="190" t="s">
        <v>385</v>
      </c>
      <c r="Q33" s="190"/>
      <c r="R33" s="191">
        <v>2</v>
      </c>
      <c r="S33" s="24">
        <v>7</v>
      </c>
    </row>
    <row r="34" spans="1:19" ht="13.5" customHeight="1">
      <c r="A34" s="50">
        <v>27</v>
      </c>
      <c r="B34" s="51"/>
      <c r="C34" s="51" t="s">
        <v>386</v>
      </c>
      <c r="D34" s="52" t="s">
        <v>387</v>
      </c>
      <c r="E34" s="53" t="s">
        <v>388</v>
      </c>
      <c r="F34" s="54" t="s">
        <v>389</v>
      </c>
      <c r="G34" s="55" t="s">
        <v>22</v>
      </c>
      <c r="H34" s="55" t="s">
        <v>72</v>
      </c>
      <c r="I34" s="55"/>
      <c r="J34" s="55"/>
      <c r="K34" s="186">
        <f t="shared" si="0"/>
        <v>650</v>
      </c>
      <c r="L34" s="192">
        <v>0.0007630787037037037</v>
      </c>
      <c r="M34" s="188"/>
      <c r="N34" s="189" t="str">
        <f t="shared" si="1"/>
        <v>III A</v>
      </c>
      <c r="O34" s="55" t="s">
        <v>390</v>
      </c>
      <c r="P34" s="190" t="s">
        <v>391</v>
      </c>
      <c r="Q34" s="190"/>
      <c r="R34" s="191">
        <v>2</v>
      </c>
      <c r="S34" s="24">
        <v>6</v>
      </c>
    </row>
    <row r="35" spans="1:19" ht="13.5" customHeight="1">
      <c r="A35" s="50">
        <v>28</v>
      </c>
      <c r="B35" s="51"/>
      <c r="C35" s="51" t="s">
        <v>392</v>
      </c>
      <c r="D35" s="52" t="s">
        <v>393</v>
      </c>
      <c r="E35" s="53" t="s">
        <v>394</v>
      </c>
      <c r="F35" s="54" t="s">
        <v>395</v>
      </c>
      <c r="G35" s="55" t="s">
        <v>118</v>
      </c>
      <c r="H35" s="55" t="s">
        <v>9</v>
      </c>
      <c r="I35" s="55" t="s">
        <v>117</v>
      </c>
      <c r="J35" s="55"/>
      <c r="K35" s="186">
        <f t="shared" si="0"/>
        <v>517</v>
      </c>
      <c r="L35" s="192">
        <v>0.000818287037037037</v>
      </c>
      <c r="M35" s="188"/>
      <c r="N35" s="189">
        <f t="shared" si="1"/>
      </c>
      <c r="O35" s="55" t="s">
        <v>116</v>
      </c>
      <c r="P35" s="190" t="s">
        <v>396</v>
      </c>
      <c r="Q35" s="190"/>
      <c r="R35" s="191">
        <v>2</v>
      </c>
      <c r="S35" s="24">
        <v>8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S61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5.140625" style="28" customWidth="1"/>
    <col min="2" max="2" width="5.140625" style="28" hidden="1" customWidth="1"/>
    <col min="3" max="3" width="4.7109375" style="28" customWidth="1"/>
    <col min="4" max="4" width="9.421875" style="23" customWidth="1"/>
    <col min="5" max="5" width="16.7109375" style="24" customWidth="1"/>
    <col min="6" max="6" width="9.28125" style="25" customWidth="1"/>
    <col min="7" max="7" width="13.421875" style="24" customWidth="1"/>
    <col min="8" max="8" width="7.421875" style="24" customWidth="1"/>
    <col min="9" max="9" width="12.851562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7109375" style="26" hidden="1" customWidth="1"/>
    <col min="14" max="14" width="4.421875" style="6" customWidth="1"/>
    <col min="15" max="15" width="28.140625" style="24" customWidth="1"/>
    <col min="16" max="16" width="5.8515625" style="60" hidden="1" customWidth="1"/>
    <col min="17" max="17" width="5.8515625" style="10" hidden="1" customWidth="1"/>
    <col min="18" max="18" width="2.00390625" style="24" hidden="1" customWidth="1"/>
    <col min="19" max="19" width="1.421875" style="24" hidden="1" customWidth="1"/>
    <col min="20" max="20" width="0" style="24" hidden="1" customWidth="1"/>
    <col min="21" max="16384" width="9.140625" style="24" customWidth="1"/>
  </cols>
  <sheetData>
    <row r="1" spans="1:17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6"/>
      <c r="P1" s="60"/>
      <c r="Q1" s="10"/>
    </row>
    <row r="2" spans="1:17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6"/>
      <c r="O2" s="18" t="s">
        <v>2</v>
      </c>
      <c r="P2" s="196"/>
      <c r="Q2" s="21"/>
    </row>
    <row r="3" spans="1:15" ht="15" customHeight="1">
      <c r="A3" s="22"/>
      <c r="B3" s="22"/>
      <c r="C3" s="22"/>
      <c r="O3" s="27" t="s">
        <v>1236</v>
      </c>
    </row>
    <row r="4" spans="4:15" ht="15.75" customHeight="1">
      <c r="D4" s="29" t="s">
        <v>462</v>
      </c>
      <c r="F4" s="30"/>
      <c r="O4" s="31"/>
    </row>
    <row r="5" ht="3.75" customHeight="1"/>
    <row r="6" spans="3:8" ht="13.5" thickBot="1">
      <c r="C6" s="33"/>
      <c r="D6" s="34"/>
      <c r="E6" s="35">
        <v>1</v>
      </c>
      <c r="F6" s="36" t="s">
        <v>332</v>
      </c>
      <c r="G6" s="37">
        <v>5</v>
      </c>
      <c r="H6" s="38"/>
    </row>
    <row r="7" spans="1:17" s="49" customFormat="1" ht="13.5" thickBot="1">
      <c r="A7" s="39" t="s">
        <v>109</v>
      </c>
      <c r="B7" s="43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4" t="s">
        <v>294</v>
      </c>
      <c r="N7" s="46" t="s">
        <v>14</v>
      </c>
      <c r="O7" s="47" t="s">
        <v>15</v>
      </c>
      <c r="P7" s="64" t="s">
        <v>18</v>
      </c>
      <c r="Q7" s="64" t="s">
        <v>16</v>
      </c>
    </row>
    <row r="8" spans="1:19" ht="12.75">
      <c r="A8" s="50">
        <v>1</v>
      </c>
      <c r="B8" s="194"/>
      <c r="C8" s="51">
        <v>137</v>
      </c>
      <c r="D8" s="52" t="s">
        <v>463</v>
      </c>
      <c r="E8" s="53" t="s">
        <v>464</v>
      </c>
      <c r="F8" s="54" t="s">
        <v>465</v>
      </c>
      <c r="G8" s="55" t="s">
        <v>71</v>
      </c>
      <c r="H8" s="55" t="s">
        <v>72</v>
      </c>
      <c r="I8" s="55"/>
      <c r="J8" s="55" t="s">
        <v>23</v>
      </c>
      <c r="K8" s="197">
        <f aca="true" t="shared" si="0" ref="K8:K15">IF(ISBLANK(L8),"",TRUNC(1.021*(L8-79)^2))</f>
        <v>805</v>
      </c>
      <c r="L8" s="169">
        <v>50.91</v>
      </c>
      <c r="M8" s="171"/>
      <c r="N8" s="189" t="str">
        <f aca="true" t="shared" si="1" ref="N8:N15">IF(ISBLANK(L8),"",IF(L8&gt;58.64,"",IF(L8&lt;=45.95,"TSM",IF(L8&lt;=47.5,"SM",IF(L8&lt;=49.2,"KSM",IF(L8&lt;=51.5,"I A",IF(L8&lt;=54.64,"II A",IF(L8&lt;=58.64,"III A"))))))))</f>
        <v>I A</v>
      </c>
      <c r="O8" s="55" t="s">
        <v>357</v>
      </c>
      <c r="P8" s="198" t="s">
        <v>466</v>
      </c>
      <c r="Q8" s="198"/>
      <c r="R8" s="191">
        <v>1</v>
      </c>
      <c r="S8" s="8">
        <v>2</v>
      </c>
    </row>
    <row r="9" spans="1:19" ht="12.75">
      <c r="A9" s="50">
        <v>2</v>
      </c>
      <c r="B9" s="51"/>
      <c r="C9" s="51" t="s">
        <v>467</v>
      </c>
      <c r="D9" s="52" t="s">
        <v>468</v>
      </c>
      <c r="E9" s="53" t="s">
        <v>469</v>
      </c>
      <c r="F9" s="54" t="s">
        <v>470</v>
      </c>
      <c r="G9" s="55" t="s">
        <v>471</v>
      </c>
      <c r="H9" s="55" t="s">
        <v>141</v>
      </c>
      <c r="I9" s="55"/>
      <c r="J9" s="55"/>
      <c r="K9" s="197">
        <f t="shared" si="0"/>
        <v>774</v>
      </c>
      <c r="L9" s="169">
        <v>51.46</v>
      </c>
      <c r="M9" s="171"/>
      <c r="N9" s="189" t="str">
        <f t="shared" si="1"/>
        <v>I A</v>
      </c>
      <c r="O9" s="55" t="s">
        <v>472</v>
      </c>
      <c r="P9" s="198" t="s">
        <v>466</v>
      </c>
      <c r="Q9" s="198"/>
      <c r="R9" s="191">
        <v>1</v>
      </c>
      <c r="S9" s="8">
        <v>5</v>
      </c>
    </row>
    <row r="10" spans="1:19" ht="12.75">
      <c r="A10" s="50">
        <v>3</v>
      </c>
      <c r="B10" s="51"/>
      <c r="C10" s="51" t="s">
        <v>473</v>
      </c>
      <c r="D10" s="52" t="s">
        <v>274</v>
      </c>
      <c r="E10" s="53" t="s">
        <v>474</v>
      </c>
      <c r="F10" s="54" t="s">
        <v>475</v>
      </c>
      <c r="G10" s="55" t="s">
        <v>83</v>
      </c>
      <c r="H10" s="55" t="s">
        <v>243</v>
      </c>
      <c r="I10" s="55" t="s">
        <v>346</v>
      </c>
      <c r="J10" s="55"/>
      <c r="K10" s="197">
        <f t="shared" si="0"/>
        <v>739</v>
      </c>
      <c r="L10" s="169">
        <v>52.09</v>
      </c>
      <c r="M10" s="171"/>
      <c r="N10" s="189" t="str">
        <f t="shared" si="1"/>
        <v>II A</v>
      </c>
      <c r="O10" s="55" t="s">
        <v>476</v>
      </c>
      <c r="P10" s="198" t="s">
        <v>466</v>
      </c>
      <c r="Q10" s="198"/>
      <c r="R10" s="191">
        <v>1</v>
      </c>
      <c r="S10" s="8">
        <v>8</v>
      </c>
    </row>
    <row r="11" spans="1:19" ht="12.75">
      <c r="A11" s="50">
        <v>4</v>
      </c>
      <c r="B11" s="51"/>
      <c r="C11" s="51" t="s">
        <v>477</v>
      </c>
      <c r="D11" s="52" t="s">
        <v>478</v>
      </c>
      <c r="E11" s="53" t="s">
        <v>479</v>
      </c>
      <c r="F11" s="54" t="s">
        <v>480</v>
      </c>
      <c r="G11" s="55" t="s">
        <v>43</v>
      </c>
      <c r="H11" s="55" t="s">
        <v>148</v>
      </c>
      <c r="I11" s="55" t="s">
        <v>73</v>
      </c>
      <c r="J11" s="55"/>
      <c r="K11" s="197">
        <f t="shared" si="0"/>
        <v>732</v>
      </c>
      <c r="L11" s="169">
        <v>52.21</v>
      </c>
      <c r="M11" s="171"/>
      <c r="N11" s="189" t="str">
        <f t="shared" si="1"/>
        <v>II A</v>
      </c>
      <c r="O11" s="55" t="s">
        <v>481</v>
      </c>
      <c r="P11" s="198" t="s">
        <v>466</v>
      </c>
      <c r="Q11" s="198"/>
      <c r="R11" s="191">
        <v>1</v>
      </c>
      <c r="S11" s="8">
        <v>7</v>
      </c>
    </row>
    <row r="12" spans="1:19" ht="12.75">
      <c r="A12" s="50">
        <v>5</v>
      </c>
      <c r="B12" s="51"/>
      <c r="C12" s="51" t="s">
        <v>482</v>
      </c>
      <c r="D12" s="52" t="s">
        <v>483</v>
      </c>
      <c r="E12" s="53" t="s">
        <v>484</v>
      </c>
      <c r="F12" s="54" t="s">
        <v>485</v>
      </c>
      <c r="G12" s="55" t="s">
        <v>22</v>
      </c>
      <c r="H12" s="55" t="s">
        <v>72</v>
      </c>
      <c r="I12" s="55" t="s">
        <v>356</v>
      </c>
      <c r="J12" s="55"/>
      <c r="K12" s="197">
        <f t="shared" si="0"/>
        <v>694</v>
      </c>
      <c r="L12" s="169">
        <v>52.92</v>
      </c>
      <c r="M12" s="171"/>
      <c r="N12" s="189" t="str">
        <f t="shared" si="1"/>
        <v>II A</v>
      </c>
      <c r="O12" s="55" t="s">
        <v>486</v>
      </c>
      <c r="P12" s="198" t="s">
        <v>466</v>
      </c>
      <c r="Q12" s="198"/>
      <c r="R12" s="191">
        <v>1</v>
      </c>
      <c r="S12" s="8">
        <v>3</v>
      </c>
    </row>
    <row r="13" spans="1:19" ht="12.75">
      <c r="A13" s="50">
        <v>6</v>
      </c>
      <c r="B13" s="51"/>
      <c r="C13" s="51">
        <v>96</v>
      </c>
      <c r="D13" s="52" t="s">
        <v>487</v>
      </c>
      <c r="E13" s="53" t="s">
        <v>488</v>
      </c>
      <c r="F13" s="54" t="s">
        <v>489</v>
      </c>
      <c r="G13" s="55" t="s">
        <v>22</v>
      </c>
      <c r="H13" s="55" t="s">
        <v>72</v>
      </c>
      <c r="I13" s="55"/>
      <c r="J13" s="55"/>
      <c r="K13" s="197">
        <f t="shared" si="0"/>
        <v>677</v>
      </c>
      <c r="L13" s="169">
        <v>53.24</v>
      </c>
      <c r="M13" s="171"/>
      <c r="N13" s="189" t="str">
        <f t="shared" si="1"/>
        <v>II A</v>
      </c>
      <c r="O13" s="55" t="s">
        <v>490</v>
      </c>
      <c r="P13" s="198" t="s">
        <v>466</v>
      </c>
      <c r="Q13" s="198"/>
      <c r="R13" s="191">
        <v>1</v>
      </c>
      <c r="S13" s="8">
        <v>6</v>
      </c>
    </row>
    <row r="14" spans="1:19" ht="12.75">
      <c r="A14" s="50">
        <v>7</v>
      </c>
      <c r="B14" s="51"/>
      <c r="C14" s="51" t="s">
        <v>491</v>
      </c>
      <c r="D14" s="52" t="s">
        <v>492</v>
      </c>
      <c r="E14" s="53" t="s">
        <v>493</v>
      </c>
      <c r="F14" s="54" t="s">
        <v>494</v>
      </c>
      <c r="G14" s="55" t="s">
        <v>83</v>
      </c>
      <c r="H14" s="55" t="s">
        <v>243</v>
      </c>
      <c r="I14" s="55" t="s">
        <v>346</v>
      </c>
      <c r="J14" s="55"/>
      <c r="K14" s="197">
        <f t="shared" si="0"/>
        <v>621</v>
      </c>
      <c r="L14" s="169">
        <v>54.33</v>
      </c>
      <c r="M14" s="171"/>
      <c r="N14" s="189" t="str">
        <f t="shared" si="1"/>
        <v>II A</v>
      </c>
      <c r="O14" s="55" t="s">
        <v>476</v>
      </c>
      <c r="P14" s="198" t="s">
        <v>466</v>
      </c>
      <c r="Q14" s="198"/>
      <c r="R14" s="191">
        <v>1</v>
      </c>
      <c r="S14" s="8">
        <v>4</v>
      </c>
    </row>
    <row r="15" spans="1:19" ht="12.75">
      <c r="A15" s="50">
        <v>8</v>
      </c>
      <c r="B15" s="51"/>
      <c r="C15" s="51">
        <v>179</v>
      </c>
      <c r="D15" s="52" t="s">
        <v>495</v>
      </c>
      <c r="E15" s="53" t="s">
        <v>496</v>
      </c>
      <c r="F15" s="54" t="s">
        <v>497</v>
      </c>
      <c r="G15" s="55" t="s">
        <v>498</v>
      </c>
      <c r="H15" s="55" t="s">
        <v>499</v>
      </c>
      <c r="I15" s="55"/>
      <c r="J15" s="55"/>
      <c r="K15" s="197">
        <f t="shared" si="0"/>
        <v>560</v>
      </c>
      <c r="L15" s="169">
        <v>55.56</v>
      </c>
      <c r="M15" s="171"/>
      <c r="N15" s="189" t="str">
        <f t="shared" si="1"/>
        <v>III A</v>
      </c>
      <c r="O15" s="55" t="s">
        <v>500</v>
      </c>
      <c r="P15" s="198" t="s">
        <v>466</v>
      </c>
      <c r="Q15" s="198"/>
      <c r="R15" s="191">
        <v>1</v>
      </c>
      <c r="S15" s="8">
        <v>1</v>
      </c>
    </row>
    <row r="16" ht="3.75" customHeight="1"/>
    <row r="17" spans="3:8" ht="13.5" thickBot="1">
      <c r="C17" s="33"/>
      <c r="D17" s="34"/>
      <c r="E17" s="35">
        <v>2</v>
      </c>
      <c r="F17" s="36" t="s">
        <v>332</v>
      </c>
      <c r="G17" s="37">
        <v>5</v>
      </c>
      <c r="H17" s="38"/>
    </row>
    <row r="18" spans="1:17" s="49" customFormat="1" ht="13.5" thickBot="1">
      <c r="A18" s="39" t="s">
        <v>109</v>
      </c>
      <c r="B18" s="43" t="s">
        <v>17</v>
      </c>
      <c r="C18" s="40" t="s">
        <v>4</v>
      </c>
      <c r="D18" s="41" t="s">
        <v>5</v>
      </c>
      <c r="E18" s="42" t="s">
        <v>6</v>
      </c>
      <c r="F18" s="43" t="s">
        <v>7</v>
      </c>
      <c r="G18" s="44" t="s">
        <v>8</v>
      </c>
      <c r="H18" s="44" t="s">
        <v>9</v>
      </c>
      <c r="I18" s="44" t="s">
        <v>10</v>
      </c>
      <c r="J18" s="44" t="s">
        <v>11</v>
      </c>
      <c r="K18" s="43" t="s">
        <v>12</v>
      </c>
      <c r="L18" s="45" t="s">
        <v>13</v>
      </c>
      <c r="M18" s="44" t="s">
        <v>294</v>
      </c>
      <c r="N18" s="46" t="s">
        <v>14</v>
      </c>
      <c r="O18" s="47" t="s">
        <v>15</v>
      </c>
      <c r="P18" s="64" t="s">
        <v>18</v>
      </c>
      <c r="Q18" s="64" t="s">
        <v>16</v>
      </c>
    </row>
    <row r="19" spans="1:19" ht="12.75">
      <c r="A19" s="50">
        <v>1</v>
      </c>
      <c r="B19" s="51"/>
      <c r="C19" s="51">
        <v>130</v>
      </c>
      <c r="D19" s="52" t="s">
        <v>501</v>
      </c>
      <c r="E19" s="53" t="s">
        <v>502</v>
      </c>
      <c r="F19" s="54" t="s">
        <v>503</v>
      </c>
      <c r="G19" s="55" t="s">
        <v>71</v>
      </c>
      <c r="H19" s="55" t="s">
        <v>72</v>
      </c>
      <c r="I19" s="55" t="s">
        <v>189</v>
      </c>
      <c r="J19" s="55"/>
      <c r="K19" s="197">
        <f aca="true" t="shared" si="2" ref="K19:K26">IF(ISBLANK(L19),"",TRUNC(1.021*(L19-79)^2))</f>
        <v>775</v>
      </c>
      <c r="L19" s="169">
        <v>51.44</v>
      </c>
      <c r="M19" s="171"/>
      <c r="N19" s="189" t="str">
        <f aca="true" t="shared" si="3" ref="N19:N26">IF(ISBLANK(L19),"",IF(L19&gt;58.64,"",IF(L19&lt;=45.95,"TSM",IF(L19&lt;=47.5,"SM",IF(L19&lt;=49.2,"KSM",IF(L19&lt;=51.5,"I A",IF(L19&lt;=54.64,"II A",IF(L19&lt;=58.64,"III A"))))))))</f>
        <v>I A</v>
      </c>
      <c r="O19" s="55" t="s">
        <v>74</v>
      </c>
      <c r="P19" s="198" t="s">
        <v>466</v>
      </c>
      <c r="Q19" s="198"/>
      <c r="R19" s="191">
        <v>2</v>
      </c>
      <c r="S19" s="8">
        <v>7</v>
      </c>
    </row>
    <row r="20" spans="1:19" ht="12.75">
      <c r="A20" s="50">
        <v>2</v>
      </c>
      <c r="B20" s="51"/>
      <c r="C20" s="51">
        <v>84</v>
      </c>
      <c r="D20" s="52" t="s">
        <v>504</v>
      </c>
      <c r="E20" s="53" t="s">
        <v>505</v>
      </c>
      <c r="F20" s="54" t="s">
        <v>506</v>
      </c>
      <c r="G20" s="55" t="s">
        <v>132</v>
      </c>
      <c r="H20" s="55" t="s">
        <v>131</v>
      </c>
      <c r="I20" s="55" t="s">
        <v>130</v>
      </c>
      <c r="J20" s="55"/>
      <c r="K20" s="197">
        <f t="shared" si="2"/>
        <v>698</v>
      </c>
      <c r="L20" s="169">
        <v>52.84</v>
      </c>
      <c r="M20" s="171"/>
      <c r="N20" s="189" t="str">
        <f t="shared" si="3"/>
        <v>II A</v>
      </c>
      <c r="O20" s="55" t="s">
        <v>507</v>
      </c>
      <c r="P20" s="198">
        <v>66.22</v>
      </c>
      <c r="Q20" s="198"/>
      <c r="R20" s="191">
        <v>2</v>
      </c>
      <c r="S20" s="8">
        <v>5</v>
      </c>
    </row>
    <row r="21" spans="1:19" ht="12.75">
      <c r="A21" s="50">
        <v>3</v>
      </c>
      <c r="B21" s="51"/>
      <c r="C21" s="51">
        <v>58</v>
      </c>
      <c r="D21" s="52" t="s">
        <v>508</v>
      </c>
      <c r="E21" s="53" t="s">
        <v>509</v>
      </c>
      <c r="F21" s="54" t="s">
        <v>510</v>
      </c>
      <c r="G21" s="55" t="s">
        <v>50</v>
      </c>
      <c r="H21" s="55" t="s">
        <v>51</v>
      </c>
      <c r="I21" s="55" t="s">
        <v>511</v>
      </c>
      <c r="J21" s="55"/>
      <c r="K21" s="197">
        <f t="shared" si="2"/>
        <v>649</v>
      </c>
      <c r="L21" s="169">
        <v>53.78</v>
      </c>
      <c r="M21" s="171"/>
      <c r="N21" s="189" t="str">
        <f t="shared" si="3"/>
        <v>II A</v>
      </c>
      <c r="O21" s="55" t="s">
        <v>512</v>
      </c>
      <c r="P21" s="198" t="s">
        <v>466</v>
      </c>
      <c r="Q21" s="198"/>
      <c r="R21" s="191">
        <v>2</v>
      </c>
      <c r="S21" s="8">
        <v>3</v>
      </c>
    </row>
    <row r="22" spans="1:19" ht="12.75">
      <c r="A22" s="50">
        <v>4</v>
      </c>
      <c r="B22" s="194"/>
      <c r="C22" s="51">
        <v>67</v>
      </c>
      <c r="D22" s="52" t="s">
        <v>257</v>
      </c>
      <c r="E22" s="53" t="s">
        <v>513</v>
      </c>
      <c r="F22" s="54" t="s">
        <v>514</v>
      </c>
      <c r="G22" s="55" t="s">
        <v>83</v>
      </c>
      <c r="H22" s="55" t="s">
        <v>243</v>
      </c>
      <c r="I22" s="55"/>
      <c r="J22" s="55" t="s">
        <v>85</v>
      </c>
      <c r="K22" s="197">
        <f t="shared" si="2"/>
        <v>625</v>
      </c>
      <c r="L22" s="169">
        <v>54.25</v>
      </c>
      <c r="M22" s="171"/>
      <c r="N22" s="189" t="str">
        <f t="shared" si="3"/>
        <v>II A</v>
      </c>
      <c r="O22" s="55" t="s">
        <v>515</v>
      </c>
      <c r="P22" s="198" t="s">
        <v>466</v>
      </c>
      <c r="Q22" s="198"/>
      <c r="R22" s="191">
        <v>2</v>
      </c>
      <c r="S22" s="8">
        <v>8</v>
      </c>
    </row>
    <row r="23" spans="1:19" ht="12.75">
      <c r="A23" s="50">
        <v>5</v>
      </c>
      <c r="B23" s="51"/>
      <c r="C23" s="51">
        <v>181</v>
      </c>
      <c r="D23" s="52" t="s">
        <v>516</v>
      </c>
      <c r="E23" s="53" t="s">
        <v>517</v>
      </c>
      <c r="F23" s="54" t="s">
        <v>518</v>
      </c>
      <c r="G23" s="55" t="s">
        <v>43</v>
      </c>
      <c r="H23" s="55" t="s">
        <v>148</v>
      </c>
      <c r="I23" s="55" t="s">
        <v>37</v>
      </c>
      <c r="J23" s="55"/>
      <c r="K23" s="197">
        <f t="shared" si="2"/>
        <v>593</v>
      </c>
      <c r="L23" s="169">
        <v>54.88</v>
      </c>
      <c r="M23" s="171"/>
      <c r="N23" s="189" t="str">
        <f t="shared" si="3"/>
        <v>III A</v>
      </c>
      <c r="O23" s="55" t="s">
        <v>519</v>
      </c>
      <c r="P23" s="198" t="s">
        <v>466</v>
      </c>
      <c r="Q23" s="198"/>
      <c r="R23" s="191">
        <v>2</v>
      </c>
      <c r="S23" s="8">
        <v>6</v>
      </c>
    </row>
    <row r="24" spans="1:19" ht="12.75">
      <c r="A24" s="50">
        <v>6</v>
      </c>
      <c r="B24" s="51"/>
      <c r="C24" s="51">
        <v>17</v>
      </c>
      <c r="D24" s="52" t="s">
        <v>520</v>
      </c>
      <c r="E24" s="53" t="s">
        <v>521</v>
      </c>
      <c r="F24" s="54" t="s">
        <v>522</v>
      </c>
      <c r="G24" s="55" t="s">
        <v>342</v>
      </c>
      <c r="H24" s="55" t="s">
        <v>29</v>
      </c>
      <c r="I24" s="55" t="s">
        <v>30</v>
      </c>
      <c r="J24" s="55"/>
      <c r="K24" s="197">
        <f t="shared" si="2"/>
        <v>544</v>
      </c>
      <c r="L24" s="169">
        <v>55.9</v>
      </c>
      <c r="M24" s="171"/>
      <c r="N24" s="189" t="str">
        <f t="shared" si="3"/>
        <v>III A</v>
      </c>
      <c r="O24" s="55" t="s">
        <v>31</v>
      </c>
      <c r="P24" s="198" t="s">
        <v>466</v>
      </c>
      <c r="Q24" s="198"/>
      <c r="R24" s="191">
        <v>2</v>
      </c>
      <c r="S24" s="8">
        <v>1</v>
      </c>
    </row>
    <row r="25" spans="1:19" ht="12.75">
      <c r="A25" s="50">
        <v>7</v>
      </c>
      <c r="B25" s="51"/>
      <c r="C25" s="51" t="s">
        <v>523</v>
      </c>
      <c r="D25" s="52" t="s">
        <v>524</v>
      </c>
      <c r="E25" s="53" t="s">
        <v>525</v>
      </c>
      <c r="F25" s="54" t="s">
        <v>526</v>
      </c>
      <c r="G25" s="55" t="s">
        <v>527</v>
      </c>
      <c r="H25" s="55" t="s">
        <v>528</v>
      </c>
      <c r="I25" s="55" t="s">
        <v>37</v>
      </c>
      <c r="J25" s="55"/>
      <c r="K25" s="197">
        <f t="shared" si="2"/>
        <v>405</v>
      </c>
      <c r="L25" s="169">
        <v>59.06</v>
      </c>
      <c r="M25" s="171"/>
      <c r="N25" s="189">
        <f t="shared" si="3"/>
      </c>
      <c r="O25" s="55" t="s">
        <v>529</v>
      </c>
      <c r="P25" s="198" t="s">
        <v>466</v>
      </c>
      <c r="Q25" s="198"/>
      <c r="R25" s="191">
        <v>2</v>
      </c>
      <c r="S25" s="8">
        <v>2</v>
      </c>
    </row>
    <row r="26" spans="1:19" ht="12.75">
      <c r="A26" s="50">
        <v>8</v>
      </c>
      <c r="B26" s="194"/>
      <c r="C26" s="51">
        <v>152</v>
      </c>
      <c r="D26" s="52" t="s">
        <v>508</v>
      </c>
      <c r="E26" s="53" t="s">
        <v>530</v>
      </c>
      <c r="F26" s="54" t="s">
        <v>531</v>
      </c>
      <c r="G26" s="55" t="s">
        <v>83</v>
      </c>
      <c r="H26" s="55"/>
      <c r="I26" s="55"/>
      <c r="J26" s="55" t="s">
        <v>85</v>
      </c>
      <c r="K26" s="197">
        <f t="shared" si="2"/>
        <v>280</v>
      </c>
      <c r="L26" s="169">
        <v>62.43</v>
      </c>
      <c r="M26" s="171"/>
      <c r="N26" s="189">
        <f t="shared" si="3"/>
      </c>
      <c r="O26" s="55" t="s">
        <v>86</v>
      </c>
      <c r="P26" s="198" t="s">
        <v>466</v>
      </c>
      <c r="Q26" s="198"/>
      <c r="R26" s="191">
        <v>2</v>
      </c>
      <c r="S26" s="8">
        <v>4</v>
      </c>
    </row>
    <row r="27" ht="3.75" customHeight="1"/>
    <row r="28" spans="3:8" ht="13.5" thickBot="1">
      <c r="C28" s="33"/>
      <c r="D28" s="34"/>
      <c r="E28" s="35">
        <v>3</v>
      </c>
      <c r="F28" s="36" t="s">
        <v>332</v>
      </c>
      <c r="G28" s="37">
        <v>5</v>
      </c>
      <c r="H28" s="38"/>
    </row>
    <row r="29" spans="1:17" s="49" customFormat="1" ht="13.5" thickBot="1">
      <c r="A29" s="39" t="s">
        <v>109</v>
      </c>
      <c r="B29" s="43" t="s">
        <v>17</v>
      </c>
      <c r="C29" s="40" t="s">
        <v>4</v>
      </c>
      <c r="D29" s="41" t="s">
        <v>5</v>
      </c>
      <c r="E29" s="42" t="s">
        <v>6</v>
      </c>
      <c r="F29" s="43" t="s">
        <v>7</v>
      </c>
      <c r="G29" s="44" t="s">
        <v>8</v>
      </c>
      <c r="H29" s="44" t="s">
        <v>9</v>
      </c>
      <c r="I29" s="44" t="s">
        <v>10</v>
      </c>
      <c r="J29" s="44" t="s">
        <v>11</v>
      </c>
      <c r="K29" s="43" t="s">
        <v>12</v>
      </c>
      <c r="L29" s="45" t="s">
        <v>13</v>
      </c>
      <c r="M29" s="44" t="s">
        <v>294</v>
      </c>
      <c r="N29" s="46" t="s">
        <v>14</v>
      </c>
      <c r="O29" s="47" t="s">
        <v>15</v>
      </c>
      <c r="P29" s="64" t="s">
        <v>18</v>
      </c>
      <c r="Q29" s="64" t="s">
        <v>16</v>
      </c>
    </row>
    <row r="30" spans="1:19" ht="12.75">
      <c r="A30" s="50">
        <v>1</v>
      </c>
      <c r="B30" s="194"/>
      <c r="C30" s="51">
        <v>151</v>
      </c>
      <c r="D30" s="52" t="s">
        <v>532</v>
      </c>
      <c r="E30" s="53" t="s">
        <v>533</v>
      </c>
      <c r="F30" s="54" t="s">
        <v>534</v>
      </c>
      <c r="G30" s="55" t="s">
        <v>83</v>
      </c>
      <c r="H30" s="55"/>
      <c r="I30" s="55"/>
      <c r="J30" s="55" t="s">
        <v>85</v>
      </c>
      <c r="K30" s="197">
        <f aca="true" t="shared" si="4" ref="K30:K37">IF(ISBLANK(L30),"",TRUNC(1.021*(L30-79)^2))</f>
        <v>669</v>
      </c>
      <c r="L30" s="169">
        <v>53.4</v>
      </c>
      <c r="M30" s="171"/>
      <c r="N30" s="189" t="str">
        <f aca="true" t="shared" si="5" ref="N30:N37">IF(ISBLANK(L30),"",IF(L30&gt;58.64,"",IF(L30&lt;=45.95,"TSM",IF(L30&lt;=47.5,"SM",IF(L30&lt;=49.2,"KSM",IF(L30&lt;=51.5,"I A",IF(L30&lt;=54.64,"II A",IF(L30&lt;=58.64,"III A"))))))))</f>
        <v>II A</v>
      </c>
      <c r="O30" s="55" t="s">
        <v>86</v>
      </c>
      <c r="P30" s="198">
        <v>53.7</v>
      </c>
      <c r="Q30" s="198"/>
      <c r="R30" s="191">
        <v>3</v>
      </c>
      <c r="S30" s="8">
        <v>3</v>
      </c>
    </row>
    <row r="31" spans="1:19" ht="12.75">
      <c r="A31" s="50">
        <v>2</v>
      </c>
      <c r="B31" s="51"/>
      <c r="C31" s="51" t="s">
        <v>535</v>
      </c>
      <c r="D31" s="52" t="s">
        <v>536</v>
      </c>
      <c r="E31" s="53" t="s">
        <v>537</v>
      </c>
      <c r="F31" s="54" t="s">
        <v>538</v>
      </c>
      <c r="G31" s="55" t="s">
        <v>22</v>
      </c>
      <c r="H31" s="55" t="s">
        <v>72</v>
      </c>
      <c r="I31" s="55"/>
      <c r="J31" s="55"/>
      <c r="K31" s="197">
        <f t="shared" si="4"/>
        <v>658</v>
      </c>
      <c r="L31" s="169">
        <v>53.6</v>
      </c>
      <c r="M31" s="171"/>
      <c r="N31" s="189" t="str">
        <f t="shared" si="5"/>
        <v>II A</v>
      </c>
      <c r="O31" s="55" t="s">
        <v>74</v>
      </c>
      <c r="P31" s="199">
        <v>55.5</v>
      </c>
      <c r="Q31" s="198"/>
      <c r="R31" s="191">
        <v>3</v>
      </c>
      <c r="S31" s="8">
        <v>2</v>
      </c>
    </row>
    <row r="32" spans="1:19" ht="12.75">
      <c r="A32" s="50">
        <v>3</v>
      </c>
      <c r="B32" s="51"/>
      <c r="C32" s="51">
        <v>178</v>
      </c>
      <c r="D32" s="52" t="s">
        <v>539</v>
      </c>
      <c r="E32" s="53" t="s">
        <v>540</v>
      </c>
      <c r="F32" s="54" t="s">
        <v>541</v>
      </c>
      <c r="G32" s="55" t="s">
        <v>498</v>
      </c>
      <c r="H32" s="55" t="s">
        <v>499</v>
      </c>
      <c r="I32" s="55"/>
      <c r="J32" s="55"/>
      <c r="K32" s="197">
        <f t="shared" si="4"/>
        <v>649</v>
      </c>
      <c r="L32" s="169">
        <v>53.78</v>
      </c>
      <c r="M32" s="171"/>
      <c r="N32" s="189" t="str">
        <f t="shared" si="5"/>
        <v>II A</v>
      </c>
      <c r="O32" s="55" t="s">
        <v>542</v>
      </c>
      <c r="P32" s="198">
        <v>54.01</v>
      </c>
      <c r="Q32" s="198"/>
      <c r="R32" s="191">
        <v>3</v>
      </c>
      <c r="S32" s="8">
        <v>4</v>
      </c>
    </row>
    <row r="33" spans="1:19" ht="12.75">
      <c r="A33" s="50">
        <v>4</v>
      </c>
      <c r="B33" s="51"/>
      <c r="C33" s="51" t="s">
        <v>543</v>
      </c>
      <c r="D33" s="52" t="s">
        <v>257</v>
      </c>
      <c r="E33" s="53" t="s">
        <v>544</v>
      </c>
      <c r="F33" s="54" t="s">
        <v>545</v>
      </c>
      <c r="G33" s="55" t="s">
        <v>546</v>
      </c>
      <c r="H33" s="55" t="s">
        <v>141</v>
      </c>
      <c r="I33" s="55" t="s">
        <v>547</v>
      </c>
      <c r="J33" s="55"/>
      <c r="K33" s="197">
        <f t="shared" si="4"/>
        <v>639</v>
      </c>
      <c r="L33" s="169">
        <v>53.97</v>
      </c>
      <c r="M33" s="171"/>
      <c r="N33" s="189" t="str">
        <f t="shared" si="5"/>
        <v>II A</v>
      </c>
      <c r="O33" s="55" t="s">
        <v>548</v>
      </c>
      <c r="P33" s="198">
        <v>54.46</v>
      </c>
      <c r="Q33" s="198"/>
      <c r="R33" s="191">
        <v>3</v>
      </c>
      <c r="S33" s="8">
        <v>8</v>
      </c>
    </row>
    <row r="34" spans="1:19" ht="12.75">
      <c r="A34" s="50">
        <v>5</v>
      </c>
      <c r="B34" s="51"/>
      <c r="C34" s="51">
        <v>189</v>
      </c>
      <c r="D34" s="52" t="s">
        <v>549</v>
      </c>
      <c r="E34" s="53" t="s">
        <v>550</v>
      </c>
      <c r="F34" s="54" t="s">
        <v>551</v>
      </c>
      <c r="G34" s="55" t="s">
        <v>43</v>
      </c>
      <c r="H34" s="55" t="s">
        <v>148</v>
      </c>
      <c r="I34" s="55" t="s">
        <v>37</v>
      </c>
      <c r="J34" s="55"/>
      <c r="K34" s="197">
        <f t="shared" si="4"/>
        <v>624</v>
      </c>
      <c r="L34" s="169">
        <v>54.27</v>
      </c>
      <c r="M34" s="171"/>
      <c r="N34" s="189" t="str">
        <f t="shared" si="5"/>
        <v>II A</v>
      </c>
      <c r="O34" s="55" t="s">
        <v>552</v>
      </c>
      <c r="P34" s="198">
        <v>54.31</v>
      </c>
      <c r="Q34" s="198"/>
      <c r="R34" s="191">
        <v>3</v>
      </c>
      <c r="S34" s="8">
        <v>7</v>
      </c>
    </row>
    <row r="35" spans="1:19" ht="12.75">
      <c r="A35" s="50">
        <v>6</v>
      </c>
      <c r="B35" s="51"/>
      <c r="C35" s="51" t="s">
        <v>553</v>
      </c>
      <c r="D35" s="52" t="s">
        <v>47</v>
      </c>
      <c r="E35" s="53" t="s">
        <v>554</v>
      </c>
      <c r="F35" s="54" t="s">
        <v>250</v>
      </c>
      <c r="G35" s="55" t="s">
        <v>83</v>
      </c>
      <c r="H35" s="55" t="s">
        <v>243</v>
      </c>
      <c r="I35" s="55"/>
      <c r="J35" s="55"/>
      <c r="K35" s="197">
        <f t="shared" si="4"/>
        <v>614</v>
      </c>
      <c r="L35" s="169">
        <v>54.47</v>
      </c>
      <c r="M35" s="171"/>
      <c r="N35" s="189" t="str">
        <f t="shared" si="5"/>
        <v>II A</v>
      </c>
      <c r="O35" s="55" t="s">
        <v>555</v>
      </c>
      <c r="P35" s="198">
        <v>53.54</v>
      </c>
      <c r="Q35" s="198"/>
      <c r="R35" s="191">
        <v>3</v>
      </c>
      <c r="S35" s="8">
        <v>5</v>
      </c>
    </row>
    <row r="36" spans="1:19" ht="12.75">
      <c r="A36" s="50">
        <v>7</v>
      </c>
      <c r="B36" s="51"/>
      <c r="C36" s="51">
        <v>169</v>
      </c>
      <c r="D36" s="52" t="s">
        <v>556</v>
      </c>
      <c r="E36" s="53" t="s">
        <v>557</v>
      </c>
      <c r="F36" s="54" t="s">
        <v>558</v>
      </c>
      <c r="G36" s="55" t="s">
        <v>83</v>
      </c>
      <c r="H36" s="55" t="s">
        <v>237</v>
      </c>
      <c r="I36" s="55" t="s">
        <v>84</v>
      </c>
      <c r="J36" s="55"/>
      <c r="K36" s="197">
        <f t="shared" si="4"/>
        <v>596</v>
      </c>
      <c r="L36" s="169">
        <v>54.82</v>
      </c>
      <c r="M36" s="171"/>
      <c r="N36" s="189" t="str">
        <f t="shared" si="5"/>
        <v>III A</v>
      </c>
      <c r="O36" s="55" t="s">
        <v>559</v>
      </c>
      <c r="P36" s="198">
        <v>54.21</v>
      </c>
      <c r="Q36" s="198"/>
      <c r="R36" s="191">
        <v>3</v>
      </c>
      <c r="S36" s="8">
        <v>6</v>
      </c>
    </row>
    <row r="37" spans="1:19" ht="12.75">
      <c r="A37" s="50">
        <v>8</v>
      </c>
      <c r="B37" s="51"/>
      <c r="C37" s="51" t="s">
        <v>560</v>
      </c>
      <c r="D37" s="52" t="s">
        <v>561</v>
      </c>
      <c r="E37" s="53" t="s">
        <v>562</v>
      </c>
      <c r="F37" s="54" t="s">
        <v>563</v>
      </c>
      <c r="G37" s="55" t="s">
        <v>43</v>
      </c>
      <c r="H37" s="55" t="s">
        <v>44</v>
      </c>
      <c r="I37" s="55" t="s">
        <v>37</v>
      </c>
      <c r="J37" s="55"/>
      <c r="K37" s="197">
        <f t="shared" si="4"/>
        <v>586</v>
      </c>
      <c r="L37" s="169">
        <v>55.04</v>
      </c>
      <c r="M37" s="171"/>
      <c r="N37" s="189" t="str">
        <f t="shared" si="5"/>
        <v>III A</v>
      </c>
      <c r="O37" s="55" t="s">
        <v>152</v>
      </c>
      <c r="P37" s="198">
        <v>55.55</v>
      </c>
      <c r="Q37" s="198"/>
      <c r="R37" s="191">
        <v>3</v>
      </c>
      <c r="S37" s="8">
        <v>1</v>
      </c>
    </row>
    <row r="38" spans="1:19" ht="12.75">
      <c r="A38" s="200"/>
      <c r="B38" s="200"/>
      <c r="C38" s="200"/>
      <c r="D38" s="201"/>
      <c r="E38" s="202"/>
      <c r="F38" s="203"/>
      <c r="G38" s="204"/>
      <c r="H38" s="204"/>
      <c r="I38" s="204"/>
      <c r="J38" s="204"/>
      <c r="K38" s="205"/>
      <c r="L38" s="206"/>
      <c r="M38" s="207"/>
      <c r="N38" s="198"/>
      <c r="O38" s="204"/>
      <c r="P38" s="198"/>
      <c r="Q38" s="198"/>
      <c r="R38" s="191"/>
      <c r="S38" s="8"/>
    </row>
    <row r="39" spans="4:15" ht="15.75" customHeight="1">
      <c r="D39" s="29" t="s">
        <v>462</v>
      </c>
      <c r="F39" s="30"/>
      <c r="O39" s="31"/>
    </row>
    <row r="40" ht="3.75" customHeight="1"/>
    <row r="41" spans="3:8" ht="13.5" thickBot="1">
      <c r="C41" s="33"/>
      <c r="D41" s="34"/>
      <c r="E41" s="35">
        <v>4</v>
      </c>
      <c r="F41" s="36" t="s">
        <v>332</v>
      </c>
      <c r="G41" s="37">
        <v>5</v>
      </c>
      <c r="H41" s="38"/>
    </row>
    <row r="42" spans="1:17" s="49" customFormat="1" ht="13.5" thickBot="1">
      <c r="A42" s="39" t="s">
        <v>109</v>
      </c>
      <c r="B42" s="43" t="s">
        <v>17</v>
      </c>
      <c r="C42" s="40" t="s">
        <v>4</v>
      </c>
      <c r="D42" s="41" t="s">
        <v>5</v>
      </c>
      <c r="E42" s="42" t="s">
        <v>6</v>
      </c>
      <c r="F42" s="43" t="s">
        <v>7</v>
      </c>
      <c r="G42" s="44" t="s">
        <v>8</v>
      </c>
      <c r="H42" s="44" t="s">
        <v>9</v>
      </c>
      <c r="I42" s="44" t="s">
        <v>10</v>
      </c>
      <c r="J42" s="44" t="s">
        <v>11</v>
      </c>
      <c r="K42" s="43" t="s">
        <v>12</v>
      </c>
      <c r="L42" s="45" t="s">
        <v>13</v>
      </c>
      <c r="M42" s="44" t="s">
        <v>294</v>
      </c>
      <c r="N42" s="46" t="s">
        <v>14</v>
      </c>
      <c r="O42" s="47" t="s">
        <v>15</v>
      </c>
      <c r="P42" s="64" t="s">
        <v>18</v>
      </c>
      <c r="Q42" s="64" t="s">
        <v>16</v>
      </c>
    </row>
    <row r="43" spans="1:19" ht="12.75">
      <c r="A43" s="50">
        <v>1</v>
      </c>
      <c r="B43" s="51"/>
      <c r="C43" s="51" t="s">
        <v>564</v>
      </c>
      <c r="D43" s="52" t="s">
        <v>478</v>
      </c>
      <c r="E43" s="53" t="s">
        <v>565</v>
      </c>
      <c r="F43" s="54" t="s">
        <v>566</v>
      </c>
      <c r="G43" s="55" t="s">
        <v>546</v>
      </c>
      <c r="H43" s="55" t="s">
        <v>141</v>
      </c>
      <c r="I43" s="55" t="s">
        <v>547</v>
      </c>
      <c r="J43" s="55"/>
      <c r="K43" s="197">
        <f aca="true" t="shared" si="6" ref="K43:K50">IF(ISBLANK(L43),"",TRUNC(1.021*(L43-79)^2))</f>
        <v>785</v>
      </c>
      <c r="L43" s="169">
        <v>51.27</v>
      </c>
      <c r="M43" s="171"/>
      <c r="N43" s="189" t="str">
        <f aca="true" t="shared" si="7" ref="N43:N50">IF(ISBLANK(L43),"",IF(L43&gt;58.64,"",IF(L43&lt;=45.95,"TSM",IF(L43&lt;=47.5,"SM",IF(L43&lt;=49.2,"KSM",IF(L43&lt;=51.5,"I A",IF(L43&lt;=54.64,"II A",IF(L43&lt;=58.64,"III A"))))))))</f>
        <v>I A</v>
      </c>
      <c r="O43" s="55" t="s">
        <v>548</v>
      </c>
      <c r="P43" s="198">
        <v>51.83</v>
      </c>
      <c r="Q43" s="198"/>
      <c r="R43" s="191">
        <v>4</v>
      </c>
      <c r="S43" s="8">
        <v>5</v>
      </c>
    </row>
    <row r="44" spans="1:19" ht="12.75">
      <c r="A44" s="50">
        <v>2</v>
      </c>
      <c r="B44" s="51"/>
      <c r="C44" s="51" t="s">
        <v>567</v>
      </c>
      <c r="D44" s="52" t="s">
        <v>568</v>
      </c>
      <c r="E44" s="53" t="s">
        <v>569</v>
      </c>
      <c r="F44" s="54" t="s">
        <v>570</v>
      </c>
      <c r="G44" s="55" t="s">
        <v>71</v>
      </c>
      <c r="H44" s="55" t="s">
        <v>72</v>
      </c>
      <c r="I44" s="55"/>
      <c r="J44" s="55"/>
      <c r="K44" s="197">
        <f t="shared" si="6"/>
        <v>759</v>
      </c>
      <c r="L44" s="169">
        <v>51.72</v>
      </c>
      <c r="M44" s="171"/>
      <c r="N44" s="189" t="str">
        <f t="shared" si="7"/>
        <v>II A</v>
      </c>
      <c r="O44" s="55" t="s">
        <v>74</v>
      </c>
      <c r="P44" s="199">
        <v>52.4</v>
      </c>
      <c r="Q44" s="198"/>
      <c r="R44" s="191">
        <v>4</v>
      </c>
      <c r="S44" s="8">
        <v>7</v>
      </c>
    </row>
    <row r="45" spans="1:19" ht="12.75">
      <c r="A45" s="50">
        <v>3</v>
      </c>
      <c r="B45" s="51"/>
      <c r="C45" s="51">
        <v>172</v>
      </c>
      <c r="D45" s="52" t="s">
        <v>266</v>
      </c>
      <c r="E45" s="53" t="s">
        <v>265</v>
      </c>
      <c r="F45" s="54" t="s">
        <v>264</v>
      </c>
      <c r="G45" s="55" t="s">
        <v>83</v>
      </c>
      <c r="H45" s="55" t="s">
        <v>218</v>
      </c>
      <c r="I45" s="55" t="s">
        <v>84</v>
      </c>
      <c r="J45" s="55"/>
      <c r="K45" s="197">
        <f t="shared" si="6"/>
        <v>731</v>
      </c>
      <c r="L45" s="169">
        <v>52.24</v>
      </c>
      <c r="M45" s="171"/>
      <c r="N45" s="189" t="str">
        <f t="shared" si="7"/>
        <v>II A</v>
      </c>
      <c r="O45" s="55" t="s">
        <v>219</v>
      </c>
      <c r="P45" s="198">
        <v>52.18</v>
      </c>
      <c r="Q45" s="198"/>
      <c r="R45" s="191">
        <v>4</v>
      </c>
      <c r="S45" s="8">
        <v>3</v>
      </c>
    </row>
    <row r="46" spans="1:19" ht="12.75">
      <c r="A46" s="50">
        <v>4</v>
      </c>
      <c r="B46" s="51"/>
      <c r="C46" s="51">
        <v>264</v>
      </c>
      <c r="D46" s="52" t="s">
        <v>571</v>
      </c>
      <c r="E46" s="53" t="s">
        <v>572</v>
      </c>
      <c r="F46" s="54" t="s">
        <v>573</v>
      </c>
      <c r="G46" s="55" t="s">
        <v>277</v>
      </c>
      <c r="H46" s="55" t="s">
        <v>276</v>
      </c>
      <c r="I46" s="55" t="s">
        <v>130</v>
      </c>
      <c r="J46" s="55"/>
      <c r="K46" s="197">
        <f t="shared" si="6"/>
        <v>727</v>
      </c>
      <c r="L46" s="169">
        <v>52.3</v>
      </c>
      <c r="M46" s="171"/>
      <c r="N46" s="189" t="str">
        <f t="shared" si="7"/>
        <v>II A</v>
      </c>
      <c r="O46" s="55" t="s">
        <v>574</v>
      </c>
      <c r="P46" s="198">
        <v>52.91</v>
      </c>
      <c r="Q46" s="198"/>
      <c r="R46" s="191">
        <v>4</v>
      </c>
      <c r="S46" s="8">
        <v>1</v>
      </c>
    </row>
    <row r="47" spans="1:19" ht="12.75">
      <c r="A47" s="50">
        <v>5</v>
      </c>
      <c r="B47" s="51"/>
      <c r="C47" s="51" t="s">
        <v>575</v>
      </c>
      <c r="D47" s="52" t="s">
        <v>478</v>
      </c>
      <c r="E47" s="53" t="s">
        <v>576</v>
      </c>
      <c r="F47" s="54" t="s">
        <v>577</v>
      </c>
      <c r="G47" s="55" t="s">
        <v>578</v>
      </c>
      <c r="H47" s="55" t="s">
        <v>579</v>
      </c>
      <c r="I47" s="55" t="s">
        <v>580</v>
      </c>
      <c r="J47" s="55"/>
      <c r="K47" s="197">
        <f t="shared" si="6"/>
        <v>714</v>
      </c>
      <c r="L47" s="169">
        <v>52.55</v>
      </c>
      <c r="M47" s="171"/>
      <c r="N47" s="189" t="str">
        <f t="shared" si="7"/>
        <v>II A</v>
      </c>
      <c r="O47" s="55" t="s">
        <v>581</v>
      </c>
      <c r="P47" s="198">
        <v>52.32</v>
      </c>
      <c r="Q47" s="198"/>
      <c r="R47" s="191">
        <v>4</v>
      </c>
      <c r="S47" s="8">
        <v>6</v>
      </c>
    </row>
    <row r="48" spans="1:19" ht="12.75">
      <c r="A48" s="50">
        <v>6</v>
      </c>
      <c r="B48" s="51"/>
      <c r="C48" s="51">
        <v>106</v>
      </c>
      <c r="D48" s="52" t="s">
        <v>257</v>
      </c>
      <c r="E48" s="53" t="s">
        <v>582</v>
      </c>
      <c r="F48" s="54" t="s">
        <v>583</v>
      </c>
      <c r="G48" s="55" t="s">
        <v>22</v>
      </c>
      <c r="H48" s="55" t="s">
        <v>64</v>
      </c>
      <c r="I48" s="55" t="s">
        <v>73</v>
      </c>
      <c r="J48" s="55"/>
      <c r="K48" s="197">
        <f t="shared" si="6"/>
        <v>713</v>
      </c>
      <c r="L48" s="169">
        <v>52.57</v>
      </c>
      <c r="M48" s="171"/>
      <c r="N48" s="189" t="str">
        <f t="shared" si="7"/>
        <v>II A</v>
      </c>
      <c r="O48" s="55" t="s">
        <v>24</v>
      </c>
      <c r="P48" s="198">
        <v>52.9</v>
      </c>
      <c r="Q48" s="198"/>
      <c r="R48" s="191">
        <v>4</v>
      </c>
      <c r="S48" s="8">
        <v>2</v>
      </c>
    </row>
    <row r="49" spans="1:19" ht="12.75">
      <c r="A49" s="50">
        <v>7</v>
      </c>
      <c r="B49" s="51"/>
      <c r="C49" s="51">
        <v>27</v>
      </c>
      <c r="D49" s="52" t="s">
        <v>584</v>
      </c>
      <c r="E49" s="53" t="s">
        <v>585</v>
      </c>
      <c r="F49" s="54" t="s">
        <v>586</v>
      </c>
      <c r="G49" s="55" t="s">
        <v>43</v>
      </c>
      <c r="H49" s="55" t="s">
        <v>44</v>
      </c>
      <c r="I49" s="55" t="s">
        <v>37</v>
      </c>
      <c r="J49" s="55"/>
      <c r="K49" s="197">
        <f t="shared" si="6"/>
        <v>700</v>
      </c>
      <c r="L49" s="169">
        <v>52.81</v>
      </c>
      <c r="M49" s="171"/>
      <c r="N49" s="189" t="str">
        <f t="shared" si="7"/>
        <v>II A</v>
      </c>
      <c r="O49" s="55" t="s">
        <v>152</v>
      </c>
      <c r="P49" s="198">
        <v>52.23</v>
      </c>
      <c r="Q49" s="198"/>
      <c r="R49" s="191">
        <v>4</v>
      </c>
      <c r="S49" s="8">
        <v>4</v>
      </c>
    </row>
    <row r="50" spans="1:19" ht="12.75">
      <c r="A50" s="50">
        <v>8</v>
      </c>
      <c r="B50" s="51"/>
      <c r="C50" s="51">
        <v>267</v>
      </c>
      <c r="D50" s="52" t="s">
        <v>47</v>
      </c>
      <c r="E50" s="53" t="s">
        <v>587</v>
      </c>
      <c r="F50" s="54" t="s">
        <v>588</v>
      </c>
      <c r="G50" s="55" t="s">
        <v>589</v>
      </c>
      <c r="H50" s="55" t="s">
        <v>141</v>
      </c>
      <c r="I50" s="55" t="s">
        <v>590</v>
      </c>
      <c r="J50" s="55"/>
      <c r="K50" s="197">
        <f t="shared" si="6"/>
        <v>694</v>
      </c>
      <c r="L50" s="169">
        <v>52.92</v>
      </c>
      <c r="M50" s="171"/>
      <c r="N50" s="189" t="str">
        <f t="shared" si="7"/>
        <v>II A</v>
      </c>
      <c r="O50" s="55" t="s">
        <v>591</v>
      </c>
      <c r="P50" s="198">
        <v>52.85</v>
      </c>
      <c r="Q50" s="198"/>
      <c r="R50" s="191">
        <v>4</v>
      </c>
      <c r="S50" s="8">
        <v>8</v>
      </c>
    </row>
    <row r="51" ht="3.75" customHeight="1"/>
    <row r="52" spans="3:8" ht="13.5" thickBot="1">
      <c r="C52" s="33"/>
      <c r="D52" s="34"/>
      <c r="E52" s="35">
        <v>5</v>
      </c>
      <c r="F52" s="36" t="s">
        <v>332</v>
      </c>
      <c r="G52" s="37">
        <v>5</v>
      </c>
      <c r="H52" s="38"/>
    </row>
    <row r="53" spans="1:17" s="49" customFormat="1" ht="13.5" thickBot="1">
      <c r="A53" s="39" t="s">
        <v>109</v>
      </c>
      <c r="B53" s="43" t="s">
        <v>17</v>
      </c>
      <c r="C53" s="40" t="s">
        <v>4</v>
      </c>
      <c r="D53" s="41" t="s">
        <v>5</v>
      </c>
      <c r="E53" s="42" t="s">
        <v>6</v>
      </c>
      <c r="F53" s="43" t="s">
        <v>7</v>
      </c>
      <c r="G53" s="44" t="s">
        <v>8</v>
      </c>
      <c r="H53" s="44" t="s">
        <v>9</v>
      </c>
      <c r="I53" s="44" t="s">
        <v>10</v>
      </c>
      <c r="J53" s="44" t="s">
        <v>11</v>
      </c>
      <c r="K53" s="43" t="s">
        <v>12</v>
      </c>
      <c r="L53" s="45" t="s">
        <v>13</v>
      </c>
      <c r="M53" s="44" t="s">
        <v>294</v>
      </c>
      <c r="N53" s="46" t="s">
        <v>14</v>
      </c>
      <c r="O53" s="47" t="s">
        <v>15</v>
      </c>
      <c r="P53" s="64" t="s">
        <v>18</v>
      </c>
      <c r="Q53" s="64" t="s">
        <v>16</v>
      </c>
    </row>
    <row r="54" spans="1:19" ht="12.75">
      <c r="A54" s="50">
        <v>1</v>
      </c>
      <c r="B54" s="194"/>
      <c r="C54" s="51">
        <v>164</v>
      </c>
      <c r="D54" s="52" t="s">
        <v>592</v>
      </c>
      <c r="E54" s="53" t="s">
        <v>593</v>
      </c>
      <c r="F54" s="54" t="s">
        <v>594</v>
      </c>
      <c r="G54" s="55" t="s">
        <v>83</v>
      </c>
      <c r="H54" s="55" t="s">
        <v>595</v>
      </c>
      <c r="I54" s="55" t="s">
        <v>164</v>
      </c>
      <c r="J54" s="55" t="s">
        <v>287</v>
      </c>
      <c r="K54" s="197">
        <f aca="true" t="shared" si="8" ref="K54:K61">IF(ISBLANK(L54),"",TRUNC(1.021*(L54-79)^2))</f>
        <v>994</v>
      </c>
      <c r="L54" s="169">
        <v>47.79</v>
      </c>
      <c r="M54" s="171"/>
      <c r="N54" s="189" t="str">
        <f aca="true" t="shared" si="9" ref="N54:N61">IF(ISBLANK(L54),"",IF(L54&gt;58.64,"",IF(L54&lt;=45.95,"TSM",IF(L54&lt;=47.5,"SM",IF(L54&lt;=49.2,"KSM",IF(L54&lt;=51.5,"I A",IF(L54&lt;=54.64,"II A",IF(L54&lt;=58.64,"III A"))))))))</f>
        <v>KSM</v>
      </c>
      <c r="O54" s="55" t="s">
        <v>596</v>
      </c>
      <c r="P54" s="198">
        <v>47.63</v>
      </c>
      <c r="Q54" s="198"/>
      <c r="R54" s="191">
        <v>5</v>
      </c>
      <c r="S54" s="8">
        <v>5</v>
      </c>
    </row>
    <row r="55" spans="1:19" ht="12.75">
      <c r="A55" s="50">
        <v>2</v>
      </c>
      <c r="B55" s="51"/>
      <c r="C55" s="51">
        <v>92</v>
      </c>
      <c r="D55" s="52" t="s">
        <v>597</v>
      </c>
      <c r="E55" s="53" t="s">
        <v>598</v>
      </c>
      <c r="F55" s="54" t="s">
        <v>599</v>
      </c>
      <c r="G55" s="55" t="s">
        <v>71</v>
      </c>
      <c r="H55" s="55" t="s">
        <v>72</v>
      </c>
      <c r="I55" s="55" t="s">
        <v>65</v>
      </c>
      <c r="J55" s="55"/>
      <c r="K55" s="197">
        <f t="shared" si="8"/>
        <v>979</v>
      </c>
      <c r="L55" s="169">
        <v>48.03</v>
      </c>
      <c r="M55" s="171"/>
      <c r="N55" s="189" t="str">
        <f t="shared" si="9"/>
        <v>KSM</v>
      </c>
      <c r="O55" s="55" t="s">
        <v>490</v>
      </c>
      <c r="P55" s="198" t="s">
        <v>466</v>
      </c>
      <c r="Q55" s="198">
        <v>48.02</v>
      </c>
      <c r="R55" s="191">
        <v>5</v>
      </c>
      <c r="S55" s="8">
        <v>6</v>
      </c>
    </row>
    <row r="56" spans="1:19" ht="12.75">
      <c r="A56" s="50">
        <v>3</v>
      </c>
      <c r="B56" s="194"/>
      <c r="C56" s="51" t="s">
        <v>600</v>
      </c>
      <c r="D56" s="52" t="s">
        <v>601</v>
      </c>
      <c r="E56" s="53" t="s">
        <v>602</v>
      </c>
      <c r="F56" s="54" t="s">
        <v>603</v>
      </c>
      <c r="G56" s="55" t="s">
        <v>71</v>
      </c>
      <c r="H56" s="55" t="s">
        <v>72</v>
      </c>
      <c r="I56" s="55" t="s">
        <v>73</v>
      </c>
      <c r="J56" s="55" t="s">
        <v>78</v>
      </c>
      <c r="K56" s="197">
        <f t="shared" si="8"/>
        <v>918</v>
      </c>
      <c r="L56" s="169">
        <v>49</v>
      </c>
      <c r="M56" s="171"/>
      <c r="N56" s="189" t="str">
        <f t="shared" si="9"/>
        <v>KSM</v>
      </c>
      <c r="O56" s="55" t="s">
        <v>604</v>
      </c>
      <c r="P56" s="198">
        <v>54.31</v>
      </c>
      <c r="Q56" s="198">
        <v>49.45</v>
      </c>
      <c r="R56" s="191">
        <v>5</v>
      </c>
      <c r="S56" s="8">
        <v>8</v>
      </c>
    </row>
    <row r="57" spans="1:19" ht="12.75">
      <c r="A57" s="50">
        <v>4</v>
      </c>
      <c r="B57" s="194"/>
      <c r="C57" s="51">
        <v>167</v>
      </c>
      <c r="D57" s="52" t="s">
        <v>605</v>
      </c>
      <c r="E57" s="53" t="s">
        <v>606</v>
      </c>
      <c r="F57" s="54" t="s">
        <v>607</v>
      </c>
      <c r="G57" s="55" t="s">
        <v>608</v>
      </c>
      <c r="H57" s="55" t="s">
        <v>609</v>
      </c>
      <c r="I57" s="55" t="s">
        <v>164</v>
      </c>
      <c r="J57" s="55" t="s">
        <v>287</v>
      </c>
      <c r="K57" s="197">
        <f t="shared" si="8"/>
        <v>889</v>
      </c>
      <c r="L57" s="169">
        <v>49.48</v>
      </c>
      <c r="M57" s="171"/>
      <c r="N57" s="189" t="str">
        <f t="shared" si="9"/>
        <v>I A</v>
      </c>
      <c r="O57" s="55" t="s">
        <v>610</v>
      </c>
      <c r="P57" s="198">
        <v>50.31</v>
      </c>
      <c r="Q57" s="198" t="s">
        <v>611</v>
      </c>
      <c r="R57" s="191">
        <v>5</v>
      </c>
      <c r="S57" s="8">
        <v>7</v>
      </c>
    </row>
    <row r="58" spans="1:19" ht="12.75">
      <c r="A58" s="50">
        <v>5</v>
      </c>
      <c r="B58" s="51"/>
      <c r="C58" s="51">
        <v>268</v>
      </c>
      <c r="D58" s="52" t="s">
        <v>612</v>
      </c>
      <c r="E58" s="53" t="s">
        <v>613</v>
      </c>
      <c r="F58" s="54" t="s">
        <v>614</v>
      </c>
      <c r="G58" s="55" t="s">
        <v>615</v>
      </c>
      <c r="H58" s="55" t="s">
        <v>9</v>
      </c>
      <c r="I58" s="55" t="s">
        <v>172</v>
      </c>
      <c r="J58" s="55"/>
      <c r="K58" s="197">
        <f t="shared" si="8"/>
        <v>866</v>
      </c>
      <c r="L58" s="169">
        <v>49.87</v>
      </c>
      <c r="M58" s="171"/>
      <c r="N58" s="189" t="str">
        <f t="shared" si="9"/>
        <v>I A</v>
      </c>
      <c r="O58" s="55" t="s">
        <v>616</v>
      </c>
      <c r="P58" s="198">
        <v>50.58</v>
      </c>
      <c r="Q58" s="198"/>
      <c r="R58" s="191">
        <v>5</v>
      </c>
      <c r="S58" s="8">
        <v>1</v>
      </c>
    </row>
    <row r="59" spans="1:19" ht="12.75">
      <c r="A59" s="50">
        <v>6</v>
      </c>
      <c r="B59" s="51"/>
      <c r="C59" s="51" t="s">
        <v>617</v>
      </c>
      <c r="D59" s="52" t="s">
        <v>508</v>
      </c>
      <c r="E59" s="53" t="s">
        <v>618</v>
      </c>
      <c r="F59" s="54" t="s">
        <v>619</v>
      </c>
      <c r="G59" s="55" t="s">
        <v>578</v>
      </c>
      <c r="H59" s="55" t="s">
        <v>579</v>
      </c>
      <c r="I59" s="55" t="s">
        <v>580</v>
      </c>
      <c r="J59" s="55"/>
      <c r="K59" s="197">
        <f t="shared" si="8"/>
        <v>833</v>
      </c>
      <c r="L59" s="169">
        <v>50.42</v>
      </c>
      <c r="M59" s="171"/>
      <c r="N59" s="189" t="str">
        <f t="shared" si="9"/>
        <v>I A</v>
      </c>
      <c r="O59" s="55" t="s">
        <v>620</v>
      </c>
      <c r="P59" s="198">
        <v>49.9</v>
      </c>
      <c r="Q59" s="198"/>
      <c r="R59" s="191">
        <v>5</v>
      </c>
      <c r="S59" s="8">
        <v>4</v>
      </c>
    </row>
    <row r="60" spans="1:19" ht="12.75">
      <c r="A60" s="50">
        <v>7</v>
      </c>
      <c r="B60" s="194"/>
      <c r="C60" s="51" t="s">
        <v>621</v>
      </c>
      <c r="D60" s="52" t="s">
        <v>622</v>
      </c>
      <c r="E60" s="53" t="s">
        <v>623</v>
      </c>
      <c r="F60" s="54" t="s">
        <v>624</v>
      </c>
      <c r="G60" s="55" t="s">
        <v>625</v>
      </c>
      <c r="H60" s="55" t="s">
        <v>626</v>
      </c>
      <c r="I60" s="55" t="s">
        <v>97</v>
      </c>
      <c r="J60" s="55" t="s">
        <v>627</v>
      </c>
      <c r="K60" s="197">
        <f t="shared" si="8"/>
        <v>808</v>
      </c>
      <c r="L60" s="169">
        <v>50.86</v>
      </c>
      <c r="M60" s="171"/>
      <c r="N60" s="189" t="str">
        <f t="shared" si="9"/>
        <v>I A</v>
      </c>
      <c r="O60" s="55" t="s">
        <v>628</v>
      </c>
      <c r="P60" s="198">
        <v>50.56</v>
      </c>
      <c r="Q60" s="198"/>
      <c r="R60" s="191">
        <v>5</v>
      </c>
      <c r="S60" s="8">
        <v>2</v>
      </c>
    </row>
    <row r="61" spans="1:19" ht="12.75">
      <c r="A61" s="50">
        <v>8</v>
      </c>
      <c r="B61" s="194"/>
      <c r="C61" s="51">
        <v>200</v>
      </c>
      <c r="D61" s="52" t="s">
        <v>629</v>
      </c>
      <c r="E61" s="53" t="s">
        <v>61</v>
      </c>
      <c r="F61" s="54" t="s">
        <v>630</v>
      </c>
      <c r="G61" s="55" t="s">
        <v>22</v>
      </c>
      <c r="H61" s="55"/>
      <c r="I61" s="55"/>
      <c r="J61" s="55" t="s">
        <v>107</v>
      </c>
      <c r="K61" s="197">
        <f t="shared" si="8"/>
        <v>501</v>
      </c>
      <c r="L61" s="169">
        <v>56.84</v>
      </c>
      <c r="M61" s="171"/>
      <c r="N61" s="189" t="str">
        <f t="shared" si="9"/>
        <v>III A</v>
      </c>
      <c r="O61" s="55" t="s">
        <v>108</v>
      </c>
      <c r="P61" s="198">
        <v>49.57</v>
      </c>
      <c r="Q61" s="198"/>
      <c r="R61" s="191">
        <v>5</v>
      </c>
      <c r="S61" s="8">
        <v>3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47"/>
  <sheetViews>
    <sheetView zoomScalePageLayoutView="0" workbookViewId="0" topLeftCell="A1">
      <selection activeCell="O3" sqref="O3"/>
    </sheetView>
  </sheetViews>
  <sheetFormatPr defaultColWidth="9.140625" defaultRowHeight="15"/>
  <cols>
    <col min="1" max="2" width="5.140625" style="28" customWidth="1"/>
    <col min="3" max="3" width="4.7109375" style="28" hidden="1" customWidth="1"/>
    <col min="4" max="4" width="9.421875" style="23" customWidth="1"/>
    <col min="5" max="5" width="16.7109375" style="24" customWidth="1"/>
    <col min="6" max="6" width="9.28125" style="25" customWidth="1"/>
    <col min="7" max="7" width="13.421875" style="24" customWidth="1"/>
    <col min="8" max="8" width="7.421875" style="24" customWidth="1"/>
    <col min="9" max="9" width="12.8515625" style="24" customWidth="1"/>
    <col min="10" max="10" width="5.140625" style="24" customWidth="1"/>
    <col min="11" max="11" width="5.421875" style="6" customWidth="1"/>
    <col min="12" max="12" width="6.421875" style="26" customWidth="1"/>
    <col min="13" max="13" width="4.7109375" style="26" hidden="1" customWidth="1"/>
    <col min="14" max="14" width="4.421875" style="6" customWidth="1"/>
    <col min="15" max="15" width="28.140625" style="24" customWidth="1"/>
    <col min="16" max="16" width="5.8515625" style="60" hidden="1" customWidth="1"/>
    <col min="17" max="17" width="5.8515625" style="10" hidden="1" customWidth="1"/>
    <col min="18" max="18" width="2.00390625" style="24" hidden="1" customWidth="1"/>
    <col min="19" max="19" width="1.421875" style="24" hidden="1" customWidth="1"/>
    <col min="20" max="20" width="0" style="24" hidden="1" customWidth="1"/>
    <col min="21" max="16384" width="9.140625" style="24" customWidth="1"/>
  </cols>
  <sheetData>
    <row r="1" spans="1:17" s="4" customFormat="1" ht="18.75" customHeight="1">
      <c r="A1" s="1" t="s">
        <v>0</v>
      </c>
      <c r="B1" s="1"/>
      <c r="C1" s="2"/>
      <c r="D1" s="3"/>
      <c r="F1" s="5"/>
      <c r="K1" s="6"/>
      <c r="L1" s="7"/>
      <c r="M1" s="7"/>
      <c r="N1" s="6"/>
      <c r="P1" s="60"/>
      <c r="Q1" s="10"/>
    </row>
    <row r="2" spans="1:17" s="14" customFormat="1" ht="22.5" customHeight="1">
      <c r="A2" s="11" t="s">
        <v>1</v>
      </c>
      <c r="B2" s="11"/>
      <c r="C2" s="12"/>
      <c r="D2" s="13"/>
      <c r="F2" s="15"/>
      <c r="K2" s="16"/>
      <c r="L2" s="17"/>
      <c r="M2" s="17"/>
      <c r="N2" s="16"/>
      <c r="O2" s="18" t="s">
        <v>2</v>
      </c>
      <c r="P2" s="196"/>
      <c r="Q2" s="21"/>
    </row>
    <row r="3" spans="1:15" ht="15" customHeight="1">
      <c r="A3" s="22"/>
      <c r="B3" s="22"/>
      <c r="C3" s="22"/>
      <c r="O3" s="27" t="s">
        <v>1236</v>
      </c>
    </row>
    <row r="4" spans="4:15" ht="15.75" customHeight="1">
      <c r="D4" s="29" t="s">
        <v>462</v>
      </c>
      <c r="F4" s="30"/>
      <c r="O4" s="31"/>
    </row>
    <row r="5" ht="3.75" customHeight="1"/>
    <row r="6" spans="3:8" ht="13.5" thickBot="1">
      <c r="C6" s="33"/>
      <c r="D6" s="34"/>
      <c r="E6" s="35"/>
      <c r="F6" s="36" t="s">
        <v>461</v>
      </c>
      <c r="G6" s="37"/>
      <c r="H6" s="38"/>
    </row>
    <row r="7" spans="1:17" s="49" customFormat="1" ht="13.5" thickBot="1">
      <c r="A7" s="39" t="s">
        <v>109</v>
      </c>
      <c r="B7" s="43" t="s">
        <v>17</v>
      </c>
      <c r="C7" s="40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4" t="s">
        <v>294</v>
      </c>
      <c r="N7" s="46" t="s">
        <v>14</v>
      </c>
      <c r="O7" s="47" t="s">
        <v>15</v>
      </c>
      <c r="P7" s="64" t="s">
        <v>18</v>
      </c>
      <c r="Q7" s="64" t="s">
        <v>16</v>
      </c>
    </row>
    <row r="8" spans="1:19" ht="12.75">
      <c r="A8" s="50">
        <v>1</v>
      </c>
      <c r="B8" s="51">
        <v>1</v>
      </c>
      <c r="C8" s="51">
        <v>164</v>
      </c>
      <c r="D8" s="52" t="s">
        <v>592</v>
      </c>
      <c r="E8" s="53" t="s">
        <v>593</v>
      </c>
      <c r="F8" s="54" t="s">
        <v>594</v>
      </c>
      <c r="G8" s="55" t="s">
        <v>83</v>
      </c>
      <c r="H8" s="55" t="s">
        <v>595</v>
      </c>
      <c r="I8" s="55" t="s">
        <v>164</v>
      </c>
      <c r="J8" s="55" t="s">
        <v>287</v>
      </c>
      <c r="K8" s="197">
        <f aca="true" t="shared" si="0" ref="K8:K47">IF(ISBLANK(L8),"",TRUNC(1.021*(L8-79)^2))</f>
        <v>994</v>
      </c>
      <c r="L8" s="169">
        <v>47.79</v>
      </c>
      <c r="M8" s="171"/>
      <c r="N8" s="189" t="str">
        <f aca="true" t="shared" si="1" ref="N8:N47">IF(ISBLANK(L8),"",IF(L8&gt;58.64,"",IF(L8&lt;=45.95,"TSM",IF(L8&lt;=47.5,"SM",IF(L8&lt;=49.2,"KSM",IF(L8&lt;=51.5,"I A",IF(L8&lt;=54.64,"II A",IF(L8&lt;=58.64,"III A"))))))))</f>
        <v>KSM</v>
      </c>
      <c r="O8" s="55" t="s">
        <v>596</v>
      </c>
      <c r="P8" s="198">
        <v>47.63</v>
      </c>
      <c r="Q8" s="198"/>
      <c r="R8" s="191">
        <v>5</v>
      </c>
      <c r="S8" s="8">
        <v>5</v>
      </c>
    </row>
    <row r="9" spans="1:19" ht="12.75">
      <c r="A9" s="50">
        <v>2</v>
      </c>
      <c r="B9" s="51"/>
      <c r="C9" s="51">
        <v>92</v>
      </c>
      <c r="D9" s="52" t="s">
        <v>597</v>
      </c>
      <c r="E9" s="53" t="s">
        <v>598</v>
      </c>
      <c r="F9" s="54" t="s">
        <v>599</v>
      </c>
      <c r="G9" s="55" t="s">
        <v>71</v>
      </c>
      <c r="H9" s="55" t="s">
        <v>72</v>
      </c>
      <c r="I9" s="55" t="s">
        <v>65</v>
      </c>
      <c r="J9" s="55"/>
      <c r="K9" s="197">
        <f t="shared" si="0"/>
        <v>979</v>
      </c>
      <c r="L9" s="169">
        <v>48.03</v>
      </c>
      <c r="M9" s="171"/>
      <c r="N9" s="189" t="str">
        <f t="shared" si="1"/>
        <v>KSM</v>
      </c>
      <c r="O9" s="55" t="s">
        <v>490</v>
      </c>
      <c r="P9" s="198" t="s">
        <v>466</v>
      </c>
      <c r="Q9" s="198">
        <v>48.02</v>
      </c>
      <c r="R9" s="191">
        <v>5</v>
      </c>
      <c r="S9" s="8">
        <v>6</v>
      </c>
    </row>
    <row r="10" spans="1:19" ht="12.75">
      <c r="A10" s="50">
        <v>3</v>
      </c>
      <c r="B10" s="51">
        <v>2</v>
      </c>
      <c r="C10" s="51" t="s">
        <v>600</v>
      </c>
      <c r="D10" s="52" t="s">
        <v>601</v>
      </c>
      <c r="E10" s="53" t="s">
        <v>602</v>
      </c>
      <c r="F10" s="54" t="s">
        <v>603</v>
      </c>
      <c r="G10" s="55" t="s">
        <v>71</v>
      </c>
      <c r="H10" s="55" t="s">
        <v>72</v>
      </c>
      <c r="I10" s="55" t="s">
        <v>73</v>
      </c>
      <c r="J10" s="55" t="s">
        <v>78</v>
      </c>
      <c r="K10" s="197">
        <f t="shared" si="0"/>
        <v>918</v>
      </c>
      <c r="L10" s="169">
        <v>49</v>
      </c>
      <c r="M10" s="171"/>
      <c r="N10" s="189" t="str">
        <f t="shared" si="1"/>
        <v>KSM</v>
      </c>
      <c r="O10" s="55" t="s">
        <v>604</v>
      </c>
      <c r="P10" s="198">
        <v>54.31</v>
      </c>
      <c r="Q10" s="198">
        <v>49.45</v>
      </c>
      <c r="R10" s="191">
        <v>5</v>
      </c>
      <c r="S10" s="8">
        <v>8</v>
      </c>
    </row>
    <row r="11" spans="1:19" ht="12.75">
      <c r="A11" s="50">
        <v>4</v>
      </c>
      <c r="B11" s="51">
        <v>3</v>
      </c>
      <c r="C11" s="51">
        <v>167</v>
      </c>
      <c r="D11" s="52" t="s">
        <v>605</v>
      </c>
      <c r="E11" s="53" t="s">
        <v>606</v>
      </c>
      <c r="F11" s="54" t="s">
        <v>607</v>
      </c>
      <c r="G11" s="55" t="s">
        <v>608</v>
      </c>
      <c r="H11" s="55" t="s">
        <v>609</v>
      </c>
      <c r="I11" s="55" t="s">
        <v>164</v>
      </c>
      <c r="J11" s="55" t="s">
        <v>287</v>
      </c>
      <c r="K11" s="197">
        <f t="shared" si="0"/>
        <v>889</v>
      </c>
      <c r="L11" s="169">
        <v>49.48</v>
      </c>
      <c r="M11" s="171"/>
      <c r="N11" s="189" t="str">
        <f t="shared" si="1"/>
        <v>I A</v>
      </c>
      <c r="O11" s="55" t="s">
        <v>610</v>
      </c>
      <c r="P11" s="198">
        <v>50.31</v>
      </c>
      <c r="Q11" s="198" t="s">
        <v>611</v>
      </c>
      <c r="R11" s="191">
        <v>5</v>
      </c>
      <c r="S11" s="8">
        <v>7</v>
      </c>
    </row>
    <row r="12" spans="1:19" ht="12.75">
      <c r="A12" s="50">
        <v>5</v>
      </c>
      <c r="B12" s="51"/>
      <c r="C12" s="51">
        <v>268</v>
      </c>
      <c r="D12" s="52" t="s">
        <v>612</v>
      </c>
      <c r="E12" s="53" t="s">
        <v>613</v>
      </c>
      <c r="F12" s="54" t="s">
        <v>614</v>
      </c>
      <c r="G12" s="55" t="s">
        <v>615</v>
      </c>
      <c r="H12" s="55" t="s">
        <v>9</v>
      </c>
      <c r="I12" s="55" t="s">
        <v>172</v>
      </c>
      <c r="J12" s="55"/>
      <c r="K12" s="197">
        <f t="shared" si="0"/>
        <v>866</v>
      </c>
      <c r="L12" s="169">
        <v>49.87</v>
      </c>
      <c r="M12" s="171"/>
      <c r="N12" s="189" t="str">
        <f t="shared" si="1"/>
        <v>I A</v>
      </c>
      <c r="O12" s="55" t="s">
        <v>616</v>
      </c>
      <c r="P12" s="198">
        <v>50.58</v>
      </c>
      <c r="Q12" s="198"/>
      <c r="R12" s="191">
        <v>5</v>
      </c>
      <c r="S12" s="8">
        <v>1</v>
      </c>
    </row>
    <row r="13" spans="1:19" ht="12.75">
      <c r="A13" s="50">
        <v>6</v>
      </c>
      <c r="B13" s="51"/>
      <c r="C13" s="51" t="s">
        <v>617</v>
      </c>
      <c r="D13" s="52" t="s">
        <v>508</v>
      </c>
      <c r="E13" s="53" t="s">
        <v>618</v>
      </c>
      <c r="F13" s="54" t="s">
        <v>619</v>
      </c>
      <c r="G13" s="55" t="s">
        <v>578</v>
      </c>
      <c r="H13" s="55" t="s">
        <v>579</v>
      </c>
      <c r="I13" s="55" t="s">
        <v>580</v>
      </c>
      <c r="J13" s="55"/>
      <c r="K13" s="197">
        <f t="shared" si="0"/>
        <v>833</v>
      </c>
      <c r="L13" s="169">
        <v>50.42</v>
      </c>
      <c r="M13" s="171"/>
      <c r="N13" s="189" t="str">
        <f t="shared" si="1"/>
        <v>I A</v>
      </c>
      <c r="O13" s="55" t="s">
        <v>620</v>
      </c>
      <c r="P13" s="198">
        <v>49.9</v>
      </c>
      <c r="Q13" s="198"/>
      <c r="R13" s="191">
        <v>5</v>
      </c>
      <c r="S13" s="8">
        <v>4</v>
      </c>
    </row>
    <row r="14" spans="1:19" ht="12.75">
      <c r="A14" s="50">
        <v>7</v>
      </c>
      <c r="B14" s="51">
        <v>4</v>
      </c>
      <c r="C14" s="51" t="s">
        <v>621</v>
      </c>
      <c r="D14" s="52" t="s">
        <v>622</v>
      </c>
      <c r="E14" s="53" t="s">
        <v>623</v>
      </c>
      <c r="F14" s="54" t="s">
        <v>624</v>
      </c>
      <c r="G14" s="55" t="s">
        <v>625</v>
      </c>
      <c r="H14" s="55" t="s">
        <v>626</v>
      </c>
      <c r="I14" s="55" t="s">
        <v>97</v>
      </c>
      <c r="J14" s="55" t="s">
        <v>627</v>
      </c>
      <c r="K14" s="197">
        <f t="shared" si="0"/>
        <v>808</v>
      </c>
      <c r="L14" s="169">
        <v>50.86</v>
      </c>
      <c r="M14" s="171"/>
      <c r="N14" s="189" t="str">
        <f t="shared" si="1"/>
        <v>I A</v>
      </c>
      <c r="O14" s="55" t="s">
        <v>628</v>
      </c>
      <c r="P14" s="198">
        <v>50.56</v>
      </c>
      <c r="Q14" s="198"/>
      <c r="R14" s="191">
        <v>5</v>
      </c>
      <c r="S14" s="8">
        <v>2</v>
      </c>
    </row>
    <row r="15" spans="1:19" ht="12.75">
      <c r="A15" s="50">
        <v>8</v>
      </c>
      <c r="B15" s="51">
        <v>5</v>
      </c>
      <c r="C15" s="51">
        <v>137</v>
      </c>
      <c r="D15" s="52" t="s">
        <v>463</v>
      </c>
      <c r="E15" s="53" t="s">
        <v>464</v>
      </c>
      <c r="F15" s="54" t="s">
        <v>465</v>
      </c>
      <c r="G15" s="55" t="s">
        <v>71</v>
      </c>
      <c r="H15" s="55" t="s">
        <v>72</v>
      </c>
      <c r="I15" s="55"/>
      <c r="J15" s="55" t="s">
        <v>23</v>
      </c>
      <c r="K15" s="197">
        <f t="shared" si="0"/>
        <v>805</v>
      </c>
      <c r="L15" s="169">
        <v>50.91</v>
      </c>
      <c r="M15" s="171"/>
      <c r="N15" s="189" t="str">
        <f t="shared" si="1"/>
        <v>I A</v>
      </c>
      <c r="O15" s="55" t="s">
        <v>357</v>
      </c>
      <c r="P15" s="198" t="s">
        <v>466</v>
      </c>
      <c r="Q15" s="198"/>
      <c r="R15" s="191">
        <v>1</v>
      </c>
      <c r="S15" s="8">
        <v>2</v>
      </c>
    </row>
    <row r="16" spans="1:19" ht="12.75">
      <c r="A16" s="50">
        <v>9</v>
      </c>
      <c r="B16" s="51"/>
      <c r="C16" s="51" t="s">
        <v>564</v>
      </c>
      <c r="D16" s="52" t="s">
        <v>478</v>
      </c>
      <c r="E16" s="53" t="s">
        <v>565</v>
      </c>
      <c r="F16" s="54" t="s">
        <v>566</v>
      </c>
      <c r="G16" s="55" t="s">
        <v>546</v>
      </c>
      <c r="H16" s="55" t="s">
        <v>141</v>
      </c>
      <c r="I16" s="55" t="s">
        <v>547</v>
      </c>
      <c r="J16" s="55"/>
      <c r="K16" s="197">
        <f t="shared" si="0"/>
        <v>785</v>
      </c>
      <c r="L16" s="169">
        <v>51.27</v>
      </c>
      <c r="M16" s="171"/>
      <c r="N16" s="189" t="str">
        <f t="shared" si="1"/>
        <v>I A</v>
      </c>
      <c r="O16" s="55" t="s">
        <v>548</v>
      </c>
      <c r="P16" s="198">
        <v>51.83</v>
      </c>
      <c r="Q16" s="198"/>
      <c r="R16" s="191">
        <v>4</v>
      </c>
      <c r="S16" s="8">
        <v>5</v>
      </c>
    </row>
    <row r="17" spans="1:19" ht="12.75">
      <c r="A17" s="50">
        <v>10</v>
      </c>
      <c r="B17" s="51"/>
      <c r="C17" s="51">
        <v>130</v>
      </c>
      <c r="D17" s="52" t="s">
        <v>501</v>
      </c>
      <c r="E17" s="53" t="s">
        <v>502</v>
      </c>
      <c r="F17" s="54" t="s">
        <v>503</v>
      </c>
      <c r="G17" s="55" t="s">
        <v>71</v>
      </c>
      <c r="H17" s="55" t="s">
        <v>72</v>
      </c>
      <c r="I17" s="55" t="s">
        <v>189</v>
      </c>
      <c r="J17" s="55"/>
      <c r="K17" s="197">
        <f t="shared" si="0"/>
        <v>775</v>
      </c>
      <c r="L17" s="169">
        <v>51.44</v>
      </c>
      <c r="M17" s="171"/>
      <c r="N17" s="189" t="str">
        <f t="shared" si="1"/>
        <v>I A</v>
      </c>
      <c r="O17" s="55" t="s">
        <v>74</v>
      </c>
      <c r="P17" s="198" t="s">
        <v>466</v>
      </c>
      <c r="Q17" s="198"/>
      <c r="R17" s="191">
        <v>2</v>
      </c>
      <c r="S17" s="8">
        <v>7</v>
      </c>
    </row>
    <row r="18" spans="1:19" ht="12.75">
      <c r="A18" s="50">
        <v>11</v>
      </c>
      <c r="B18" s="51"/>
      <c r="C18" s="51" t="s">
        <v>467</v>
      </c>
      <c r="D18" s="52" t="s">
        <v>468</v>
      </c>
      <c r="E18" s="53" t="s">
        <v>469</v>
      </c>
      <c r="F18" s="54" t="s">
        <v>470</v>
      </c>
      <c r="G18" s="55" t="s">
        <v>471</v>
      </c>
      <c r="H18" s="55" t="s">
        <v>141</v>
      </c>
      <c r="I18" s="55"/>
      <c r="J18" s="55"/>
      <c r="K18" s="197">
        <f t="shared" si="0"/>
        <v>774</v>
      </c>
      <c r="L18" s="169">
        <v>51.46</v>
      </c>
      <c r="M18" s="171"/>
      <c r="N18" s="189" t="str">
        <f t="shared" si="1"/>
        <v>I A</v>
      </c>
      <c r="O18" s="55" t="s">
        <v>472</v>
      </c>
      <c r="P18" s="198" t="s">
        <v>466</v>
      </c>
      <c r="Q18" s="198"/>
      <c r="R18" s="191">
        <v>1</v>
      </c>
      <c r="S18" s="8">
        <v>5</v>
      </c>
    </row>
    <row r="19" spans="1:19" ht="12.75">
      <c r="A19" s="50">
        <v>12</v>
      </c>
      <c r="B19" s="51"/>
      <c r="C19" s="51" t="s">
        <v>567</v>
      </c>
      <c r="D19" s="52" t="s">
        <v>568</v>
      </c>
      <c r="E19" s="53" t="s">
        <v>569</v>
      </c>
      <c r="F19" s="54" t="s">
        <v>570</v>
      </c>
      <c r="G19" s="55" t="s">
        <v>71</v>
      </c>
      <c r="H19" s="55" t="s">
        <v>72</v>
      </c>
      <c r="I19" s="55"/>
      <c r="J19" s="55"/>
      <c r="K19" s="197">
        <f t="shared" si="0"/>
        <v>759</v>
      </c>
      <c r="L19" s="169">
        <v>51.72</v>
      </c>
      <c r="M19" s="171"/>
      <c r="N19" s="189" t="str">
        <f t="shared" si="1"/>
        <v>II A</v>
      </c>
      <c r="O19" s="55" t="s">
        <v>74</v>
      </c>
      <c r="P19" s="199">
        <v>52.4</v>
      </c>
      <c r="Q19" s="198"/>
      <c r="R19" s="191">
        <v>4</v>
      </c>
      <c r="S19" s="8">
        <v>7</v>
      </c>
    </row>
    <row r="20" spans="1:19" ht="12.75">
      <c r="A20" s="50">
        <v>13</v>
      </c>
      <c r="B20" s="51"/>
      <c r="C20" s="51" t="s">
        <v>473</v>
      </c>
      <c r="D20" s="52" t="s">
        <v>274</v>
      </c>
      <c r="E20" s="53" t="s">
        <v>474</v>
      </c>
      <c r="F20" s="54" t="s">
        <v>475</v>
      </c>
      <c r="G20" s="55" t="s">
        <v>83</v>
      </c>
      <c r="H20" s="55" t="s">
        <v>243</v>
      </c>
      <c r="I20" s="55" t="s">
        <v>346</v>
      </c>
      <c r="J20" s="55"/>
      <c r="K20" s="197">
        <f t="shared" si="0"/>
        <v>739</v>
      </c>
      <c r="L20" s="169">
        <v>52.09</v>
      </c>
      <c r="M20" s="171"/>
      <c r="N20" s="189" t="str">
        <f t="shared" si="1"/>
        <v>II A</v>
      </c>
      <c r="O20" s="55" t="s">
        <v>476</v>
      </c>
      <c r="P20" s="198" t="s">
        <v>466</v>
      </c>
      <c r="Q20" s="198"/>
      <c r="R20" s="191">
        <v>1</v>
      </c>
      <c r="S20" s="8">
        <v>8</v>
      </c>
    </row>
    <row r="21" spans="1:19" ht="12.75">
      <c r="A21" s="50">
        <v>14</v>
      </c>
      <c r="B21" s="51"/>
      <c r="C21" s="51" t="s">
        <v>477</v>
      </c>
      <c r="D21" s="52" t="s">
        <v>478</v>
      </c>
      <c r="E21" s="53" t="s">
        <v>479</v>
      </c>
      <c r="F21" s="54" t="s">
        <v>480</v>
      </c>
      <c r="G21" s="55" t="s">
        <v>43</v>
      </c>
      <c r="H21" s="55" t="s">
        <v>148</v>
      </c>
      <c r="I21" s="55" t="s">
        <v>73</v>
      </c>
      <c r="J21" s="55"/>
      <c r="K21" s="197">
        <f t="shared" si="0"/>
        <v>732</v>
      </c>
      <c r="L21" s="169">
        <v>52.21</v>
      </c>
      <c r="M21" s="171"/>
      <c r="N21" s="189" t="str">
        <f t="shared" si="1"/>
        <v>II A</v>
      </c>
      <c r="O21" s="55" t="s">
        <v>481</v>
      </c>
      <c r="P21" s="198" t="s">
        <v>466</v>
      </c>
      <c r="Q21" s="198"/>
      <c r="R21" s="191">
        <v>1</v>
      </c>
      <c r="S21" s="8">
        <v>7</v>
      </c>
    </row>
    <row r="22" spans="1:19" ht="12.75">
      <c r="A22" s="50">
        <v>15</v>
      </c>
      <c r="B22" s="51"/>
      <c r="C22" s="51">
        <v>172</v>
      </c>
      <c r="D22" s="52" t="s">
        <v>266</v>
      </c>
      <c r="E22" s="53" t="s">
        <v>265</v>
      </c>
      <c r="F22" s="54" t="s">
        <v>264</v>
      </c>
      <c r="G22" s="55" t="s">
        <v>83</v>
      </c>
      <c r="H22" s="55" t="s">
        <v>218</v>
      </c>
      <c r="I22" s="55" t="s">
        <v>84</v>
      </c>
      <c r="J22" s="55"/>
      <c r="K22" s="197">
        <f t="shared" si="0"/>
        <v>731</v>
      </c>
      <c r="L22" s="169">
        <v>52.24</v>
      </c>
      <c r="M22" s="171"/>
      <c r="N22" s="189" t="str">
        <f t="shared" si="1"/>
        <v>II A</v>
      </c>
      <c r="O22" s="55" t="s">
        <v>219</v>
      </c>
      <c r="P22" s="198">
        <v>52.18</v>
      </c>
      <c r="Q22" s="198"/>
      <c r="R22" s="191">
        <v>4</v>
      </c>
      <c r="S22" s="8">
        <v>3</v>
      </c>
    </row>
    <row r="23" spans="1:19" ht="12.75">
      <c r="A23" s="50">
        <v>16</v>
      </c>
      <c r="B23" s="51"/>
      <c r="C23" s="51">
        <v>264</v>
      </c>
      <c r="D23" s="52" t="s">
        <v>571</v>
      </c>
      <c r="E23" s="53" t="s">
        <v>572</v>
      </c>
      <c r="F23" s="54" t="s">
        <v>573</v>
      </c>
      <c r="G23" s="55" t="s">
        <v>277</v>
      </c>
      <c r="H23" s="55" t="s">
        <v>276</v>
      </c>
      <c r="I23" s="55" t="s">
        <v>130</v>
      </c>
      <c r="J23" s="55"/>
      <c r="K23" s="197">
        <f t="shared" si="0"/>
        <v>727</v>
      </c>
      <c r="L23" s="169">
        <v>52.3</v>
      </c>
      <c r="M23" s="171"/>
      <c r="N23" s="189" t="str">
        <f t="shared" si="1"/>
        <v>II A</v>
      </c>
      <c r="O23" s="55" t="s">
        <v>574</v>
      </c>
      <c r="P23" s="198">
        <v>52.91</v>
      </c>
      <c r="Q23" s="198"/>
      <c r="R23" s="191">
        <v>4</v>
      </c>
      <c r="S23" s="8">
        <v>1</v>
      </c>
    </row>
    <row r="24" spans="1:19" ht="12.75">
      <c r="A24" s="50">
        <v>17</v>
      </c>
      <c r="B24" s="51"/>
      <c r="C24" s="51" t="s">
        <v>575</v>
      </c>
      <c r="D24" s="52" t="s">
        <v>478</v>
      </c>
      <c r="E24" s="53" t="s">
        <v>576</v>
      </c>
      <c r="F24" s="54" t="s">
        <v>577</v>
      </c>
      <c r="G24" s="55" t="s">
        <v>578</v>
      </c>
      <c r="H24" s="55" t="s">
        <v>579</v>
      </c>
      <c r="I24" s="55" t="s">
        <v>580</v>
      </c>
      <c r="J24" s="55"/>
      <c r="K24" s="197">
        <f t="shared" si="0"/>
        <v>714</v>
      </c>
      <c r="L24" s="169">
        <v>52.55</v>
      </c>
      <c r="M24" s="171"/>
      <c r="N24" s="189" t="str">
        <f t="shared" si="1"/>
        <v>II A</v>
      </c>
      <c r="O24" s="55" t="s">
        <v>581</v>
      </c>
      <c r="P24" s="198">
        <v>52.32</v>
      </c>
      <c r="Q24" s="198"/>
      <c r="R24" s="191">
        <v>4</v>
      </c>
      <c r="S24" s="8">
        <v>6</v>
      </c>
    </row>
    <row r="25" spans="1:19" ht="12.75">
      <c r="A25" s="50">
        <v>18</v>
      </c>
      <c r="B25" s="51"/>
      <c r="C25" s="51">
        <v>106</v>
      </c>
      <c r="D25" s="52" t="s">
        <v>257</v>
      </c>
      <c r="E25" s="53" t="s">
        <v>582</v>
      </c>
      <c r="F25" s="54" t="s">
        <v>583</v>
      </c>
      <c r="G25" s="55" t="s">
        <v>22</v>
      </c>
      <c r="H25" s="55" t="s">
        <v>64</v>
      </c>
      <c r="I25" s="55" t="s">
        <v>73</v>
      </c>
      <c r="J25" s="55"/>
      <c r="K25" s="197">
        <f t="shared" si="0"/>
        <v>713</v>
      </c>
      <c r="L25" s="169">
        <v>52.57</v>
      </c>
      <c r="M25" s="171"/>
      <c r="N25" s="189" t="str">
        <f t="shared" si="1"/>
        <v>II A</v>
      </c>
      <c r="O25" s="55" t="s">
        <v>24</v>
      </c>
      <c r="P25" s="198">
        <v>52.9</v>
      </c>
      <c r="Q25" s="198"/>
      <c r="R25" s="191">
        <v>4</v>
      </c>
      <c r="S25" s="8">
        <v>2</v>
      </c>
    </row>
    <row r="26" spans="1:19" ht="12.75">
      <c r="A26" s="50">
        <v>19</v>
      </c>
      <c r="B26" s="51"/>
      <c r="C26" s="51">
        <v>27</v>
      </c>
      <c r="D26" s="52" t="s">
        <v>584</v>
      </c>
      <c r="E26" s="53" t="s">
        <v>585</v>
      </c>
      <c r="F26" s="54" t="s">
        <v>586</v>
      </c>
      <c r="G26" s="55" t="s">
        <v>43</v>
      </c>
      <c r="H26" s="55" t="s">
        <v>44</v>
      </c>
      <c r="I26" s="55" t="s">
        <v>37</v>
      </c>
      <c r="J26" s="55"/>
      <c r="K26" s="197">
        <f t="shared" si="0"/>
        <v>700</v>
      </c>
      <c r="L26" s="169">
        <v>52.81</v>
      </c>
      <c r="M26" s="171"/>
      <c r="N26" s="189" t="str">
        <f t="shared" si="1"/>
        <v>II A</v>
      </c>
      <c r="O26" s="55" t="s">
        <v>152</v>
      </c>
      <c r="P26" s="198">
        <v>52.23</v>
      </c>
      <c r="Q26" s="198"/>
      <c r="R26" s="191">
        <v>4</v>
      </c>
      <c r="S26" s="8">
        <v>4</v>
      </c>
    </row>
    <row r="27" spans="1:19" ht="12.75">
      <c r="A27" s="50">
        <v>20</v>
      </c>
      <c r="B27" s="51"/>
      <c r="C27" s="51">
        <v>84</v>
      </c>
      <c r="D27" s="52" t="s">
        <v>504</v>
      </c>
      <c r="E27" s="53" t="s">
        <v>505</v>
      </c>
      <c r="F27" s="54" t="s">
        <v>506</v>
      </c>
      <c r="G27" s="55" t="s">
        <v>132</v>
      </c>
      <c r="H27" s="55" t="s">
        <v>131</v>
      </c>
      <c r="I27" s="55" t="s">
        <v>130</v>
      </c>
      <c r="J27" s="55"/>
      <c r="K27" s="197">
        <f t="shared" si="0"/>
        <v>698</v>
      </c>
      <c r="L27" s="169">
        <v>52.84</v>
      </c>
      <c r="M27" s="171"/>
      <c r="N27" s="189" t="str">
        <f t="shared" si="1"/>
        <v>II A</v>
      </c>
      <c r="O27" s="55" t="s">
        <v>507</v>
      </c>
      <c r="P27" s="198">
        <v>66.22</v>
      </c>
      <c r="Q27" s="198"/>
      <c r="R27" s="191">
        <v>2</v>
      </c>
      <c r="S27" s="8">
        <v>5</v>
      </c>
    </row>
    <row r="28" spans="1:19" ht="12.75">
      <c r="A28" s="50">
        <v>21</v>
      </c>
      <c r="B28" s="51"/>
      <c r="C28" s="51" t="s">
        <v>482</v>
      </c>
      <c r="D28" s="52" t="s">
        <v>483</v>
      </c>
      <c r="E28" s="53" t="s">
        <v>484</v>
      </c>
      <c r="F28" s="54" t="s">
        <v>485</v>
      </c>
      <c r="G28" s="55" t="s">
        <v>22</v>
      </c>
      <c r="H28" s="55" t="s">
        <v>72</v>
      </c>
      <c r="I28" s="55" t="s">
        <v>356</v>
      </c>
      <c r="J28" s="55"/>
      <c r="K28" s="197">
        <f t="shared" si="0"/>
        <v>694</v>
      </c>
      <c r="L28" s="169">
        <v>52.92</v>
      </c>
      <c r="M28" s="171"/>
      <c r="N28" s="189" t="str">
        <f t="shared" si="1"/>
        <v>II A</v>
      </c>
      <c r="O28" s="55" t="s">
        <v>486</v>
      </c>
      <c r="P28" s="198" t="s">
        <v>466</v>
      </c>
      <c r="Q28" s="198"/>
      <c r="R28" s="191">
        <v>1</v>
      </c>
      <c r="S28" s="8">
        <v>3</v>
      </c>
    </row>
    <row r="29" spans="1:19" ht="12.75">
      <c r="A29" s="50">
        <v>22</v>
      </c>
      <c r="B29" s="51"/>
      <c r="C29" s="51">
        <v>267</v>
      </c>
      <c r="D29" s="52" t="s">
        <v>47</v>
      </c>
      <c r="E29" s="53" t="s">
        <v>587</v>
      </c>
      <c r="F29" s="54" t="s">
        <v>588</v>
      </c>
      <c r="G29" s="55" t="s">
        <v>589</v>
      </c>
      <c r="H29" s="55" t="s">
        <v>141</v>
      </c>
      <c r="I29" s="55" t="s">
        <v>590</v>
      </c>
      <c r="J29" s="55"/>
      <c r="K29" s="197">
        <f t="shared" si="0"/>
        <v>694</v>
      </c>
      <c r="L29" s="169">
        <v>52.92</v>
      </c>
      <c r="M29" s="171"/>
      <c r="N29" s="189" t="str">
        <f t="shared" si="1"/>
        <v>II A</v>
      </c>
      <c r="O29" s="55" t="s">
        <v>591</v>
      </c>
      <c r="P29" s="198">
        <v>52.85</v>
      </c>
      <c r="Q29" s="198"/>
      <c r="R29" s="191">
        <v>4</v>
      </c>
      <c r="S29" s="8">
        <v>8</v>
      </c>
    </row>
    <row r="30" spans="1:19" ht="12.75">
      <c r="A30" s="50">
        <v>23</v>
      </c>
      <c r="B30" s="51"/>
      <c r="C30" s="51">
        <v>96</v>
      </c>
      <c r="D30" s="52" t="s">
        <v>487</v>
      </c>
      <c r="E30" s="53" t="s">
        <v>488</v>
      </c>
      <c r="F30" s="54" t="s">
        <v>489</v>
      </c>
      <c r="G30" s="55" t="s">
        <v>22</v>
      </c>
      <c r="H30" s="55" t="s">
        <v>72</v>
      </c>
      <c r="I30" s="55"/>
      <c r="J30" s="55"/>
      <c r="K30" s="197">
        <f t="shared" si="0"/>
        <v>677</v>
      </c>
      <c r="L30" s="169">
        <v>53.24</v>
      </c>
      <c r="M30" s="171"/>
      <c r="N30" s="189" t="str">
        <f t="shared" si="1"/>
        <v>II A</v>
      </c>
      <c r="O30" s="55" t="s">
        <v>490</v>
      </c>
      <c r="P30" s="198" t="s">
        <v>466</v>
      </c>
      <c r="Q30" s="198"/>
      <c r="R30" s="191">
        <v>1</v>
      </c>
      <c r="S30" s="8">
        <v>6</v>
      </c>
    </row>
    <row r="31" spans="1:19" ht="12.75">
      <c r="A31" s="50">
        <v>24</v>
      </c>
      <c r="B31" s="51">
        <v>6</v>
      </c>
      <c r="C31" s="51">
        <v>151</v>
      </c>
      <c r="D31" s="52" t="s">
        <v>532</v>
      </c>
      <c r="E31" s="53" t="s">
        <v>533</v>
      </c>
      <c r="F31" s="54" t="s">
        <v>534</v>
      </c>
      <c r="G31" s="55" t="s">
        <v>83</v>
      </c>
      <c r="H31" s="55"/>
      <c r="I31" s="55"/>
      <c r="J31" s="55" t="s">
        <v>85</v>
      </c>
      <c r="K31" s="197">
        <f t="shared" si="0"/>
        <v>669</v>
      </c>
      <c r="L31" s="169">
        <v>53.4</v>
      </c>
      <c r="M31" s="171"/>
      <c r="N31" s="189" t="str">
        <f t="shared" si="1"/>
        <v>II A</v>
      </c>
      <c r="O31" s="55" t="s">
        <v>86</v>
      </c>
      <c r="P31" s="198">
        <v>53.7</v>
      </c>
      <c r="Q31" s="198"/>
      <c r="R31" s="191">
        <v>3</v>
      </c>
      <c r="S31" s="8">
        <v>3</v>
      </c>
    </row>
    <row r="32" spans="1:19" ht="12.75">
      <c r="A32" s="50">
        <v>25</v>
      </c>
      <c r="B32" s="51"/>
      <c r="C32" s="51" t="s">
        <v>535</v>
      </c>
      <c r="D32" s="52" t="s">
        <v>536</v>
      </c>
      <c r="E32" s="53" t="s">
        <v>537</v>
      </c>
      <c r="F32" s="54" t="s">
        <v>538</v>
      </c>
      <c r="G32" s="55" t="s">
        <v>22</v>
      </c>
      <c r="H32" s="55" t="s">
        <v>72</v>
      </c>
      <c r="I32" s="55"/>
      <c r="J32" s="55"/>
      <c r="K32" s="197">
        <f t="shared" si="0"/>
        <v>658</v>
      </c>
      <c r="L32" s="169">
        <v>53.6</v>
      </c>
      <c r="M32" s="171"/>
      <c r="N32" s="189" t="str">
        <f t="shared" si="1"/>
        <v>II A</v>
      </c>
      <c r="O32" s="55" t="s">
        <v>74</v>
      </c>
      <c r="P32" s="199">
        <v>55.5</v>
      </c>
      <c r="Q32" s="198"/>
      <c r="R32" s="191">
        <v>3</v>
      </c>
      <c r="S32" s="8">
        <v>2</v>
      </c>
    </row>
    <row r="33" spans="1:19" ht="12.75">
      <c r="A33" s="50">
        <v>26</v>
      </c>
      <c r="B33" s="51"/>
      <c r="C33" s="51">
        <v>58</v>
      </c>
      <c r="D33" s="52" t="s">
        <v>508</v>
      </c>
      <c r="E33" s="53" t="s">
        <v>509</v>
      </c>
      <c r="F33" s="54" t="s">
        <v>510</v>
      </c>
      <c r="G33" s="55" t="s">
        <v>50</v>
      </c>
      <c r="H33" s="55" t="s">
        <v>51</v>
      </c>
      <c r="I33" s="55" t="s">
        <v>511</v>
      </c>
      <c r="J33" s="55"/>
      <c r="K33" s="197">
        <f t="shared" si="0"/>
        <v>649</v>
      </c>
      <c r="L33" s="169">
        <v>53.78</v>
      </c>
      <c r="M33" s="171"/>
      <c r="N33" s="189" t="str">
        <f t="shared" si="1"/>
        <v>II A</v>
      </c>
      <c r="O33" s="55" t="s">
        <v>512</v>
      </c>
      <c r="P33" s="198" t="s">
        <v>466</v>
      </c>
      <c r="Q33" s="198"/>
      <c r="R33" s="191">
        <v>2</v>
      </c>
      <c r="S33" s="8">
        <v>3</v>
      </c>
    </row>
    <row r="34" spans="1:19" ht="12.75">
      <c r="A34" s="50">
        <v>27</v>
      </c>
      <c r="B34" s="51"/>
      <c r="C34" s="51">
        <v>178</v>
      </c>
      <c r="D34" s="52" t="s">
        <v>539</v>
      </c>
      <c r="E34" s="53" t="s">
        <v>540</v>
      </c>
      <c r="F34" s="54" t="s">
        <v>541</v>
      </c>
      <c r="G34" s="55" t="s">
        <v>498</v>
      </c>
      <c r="H34" s="55" t="s">
        <v>499</v>
      </c>
      <c r="I34" s="55"/>
      <c r="J34" s="55"/>
      <c r="K34" s="197">
        <f t="shared" si="0"/>
        <v>649</v>
      </c>
      <c r="L34" s="169">
        <v>53.78</v>
      </c>
      <c r="M34" s="171"/>
      <c r="N34" s="189" t="str">
        <f t="shared" si="1"/>
        <v>II A</v>
      </c>
      <c r="O34" s="55" t="s">
        <v>542</v>
      </c>
      <c r="P34" s="198">
        <v>54.01</v>
      </c>
      <c r="Q34" s="198"/>
      <c r="R34" s="191">
        <v>3</v>
      </c>
      <c r="S34" s="8">
        <v>4</v>
      </c>
    </row>
    <row r="35" spans="1:19" ht="12.75">
      <c r="A35" s="50">
        <v>28</v>
      </c>
      <c r="B35" s="51"/>
      <c r="C35" s="51" t="s">
        <v>543</v>
      </c>
      <c r="D35" s="52" t="s">
        <v>257</v>
      </c>
      <c r="E35" s="53" t="s">
        <v>544</v>
      </c>
      <c r="F35" s="54" t="s">
        <v>545</v>
      </c>
      <c r="G35" s="55" t="s">
        <v>546</v>
      </c>
      <c r="H35" s="55" t="s">
        <v>141</v>
      </c>
      <c r="I35" s="55" t="s">
        <v>547</v>
      </c>
      <c r="J35" s="55"/>
      <c r="K35" s="197">
        <f t="shared" si="0"/>
        <v>639</v>
      </c>
      <c r="L35" s="169">
        <v>53.97</v>
      </c>
      <c r="M35" s="171"/>
      <c r="N35" s="189" t="str">
        <f t="shared" si="1"/>
        <v>II A</v>
      </c>
      <c r="O35" s="55" t="s">
        <v>548</v>
      </c>
      <c r="P35" s="198">
        <v>54.46</v>
      </c>
      <c r="Q35" s="198"/>
      <c r="R35" s="191">
        <v>3</v>
      </c>
      <c r="S35" s="8">
        <v>8</v>
      </c>
    </row>
    <row r="36" spans="1:19" ht="12.75">
      <c r="A36" s="50">
        <v>29</v>
      </c>
      <c r="B36" s="51">
        <v>7</v>
      </c>
      <c r="C36" s="51">
        <v>67</v>
      </c>
      <c r="D36" s="52" t="s">
        <v>257</v>
      </c>
      <c r="E36" s="53" t="s">
        <v>513</v>
      </c>
      <c r="F36" s="54" t="s">
        <v>514</v>
      </c>
      <c r="G36" s="55" t="s">
        <v>83</v>
      </c>
      <c r="H36" s="55" t="s">
        <v>243</v>
      </c>
      <c r="I36" s="55"/>
      <c r="J36" s="55" t="s">
        <v>85</v>
      </c>
      <c r="K36" s="197">
        <f t="shared" si="0"/>
        <v>625</v>
      </c>
      <c r="L36" s="169">
        <v>54.25</v>
      </c>
      <c r="M36" s="171"/>
      <c r="N36" s="189" t="str">
        <f t="shared" si="1"/>
        <v>II A</v>
      </c>
      <c r="O36" s="55" t="s">
        <v>515</v>
      </c>
      <c r="P36" s="198" t="s">
        <v>466</v>
      </c>
      <c r="Q36" s="198"/>
      <c r="R36" s="191">
        <v>2</v>
      </c>
      <c r="S36" s="8">
        <v>8</v>
      </c>
    </row>
    <row r="37" spans="1:19" ht="12.75">
      <c r="A37" s="50">
        <v>30</v>
      </c>
      <c r="B37" s="51"/>
      <c r="C37" s="51">
        <v>189</v>
      </c>
      <c r="D37" s="52" t="s">
        <v>549</v>
      </c>
      <c r="E37" s="53" t="s">
        <v>550</v>
      </c>
      <c r="F37" s="54" t="s">
        <v>551</v>
      </c>
      <c r="G37" s="55" t="s">
        <v>43</v>
      </c>
      <c r="H37" s="55" t="s">
        <v>148</v>
      </c>
      <c r="I37" s="55" t="s">
        <v>37</v>
      </c>
      <c r="J37" s="55"/>
      <c r="K37" s="197">
        <f t="shared" si="0"/>
        <v>624</v>
      </c>
      <c r="L37" s="169">
        <v>54.27</v>
      </c>
      <c r="M37" s="171"/>
      <c r="N37" s="189" t="str">
        <f t="shared" si="1"/>
        <v>II A</v>
      </c>
      <c r="O37" s="55" t="s">
        <v>552</v>
      </c>
      <c r="P37" s="198">
        <v>54.31</v>
      </c>
      <c r="Q37" s="198"/>
      <c r="R37" s="191">
        <v>3</v>
      </c>
      <c r="S37" s="8">
        <v>7</v>
      </c>
    </row>
    <row r="38" spans="1:19" ht="12.75">
      <c r="A38" s="50">
        <v>31</v>
      </c>
      <c r="B38" s="51"/>
      <c r="C38" s="51" t="s">
        <v>491</v>
      </c>
      <c r="D38" s="52" t="s">
        <v>492</v>
      </c>
      <c r="E38" s="53" t="s">
        <v>493</v>
      </c>
      <c r="F38" s="54" t="s">
        <v>494</v>
      </c>
      <c r="G38" s="55" t="s">
        <v>83</v>
      </c>
      <c r="H38" s="55" t="s">
        <v>243</v>
      </c>
      <c r="I38" s="55" t="s">
        <v>346</v>
      </c>
      <c r="J38" s="55"/>
      <c r="K38" s="197">
        <f t="shared" si="0"/>
        <v>621</v>
      </c>
      <c r="L38" s="169">
        <v>54.33</v>
      </c>
      <c r="M38" s="171"/>
      <c r="N38" s="189" t="str">
        <f t="shared" si="1"/>
        <v>II A</v>
      </c>
      <c r="O38" s="55" t="s">
        <v>476</v>
      </c>
      <c r="P38" s="198" t="s">
        <v>466</v>
      </c>
      <c r="Q38" s="198"/>
      <c r="R38" s="191">
        <v>1</v>
      </c>
      <c r="S38" s="8">
        <v>4</v>
      </c>
    </row>
    <row r="39" spans="1:19" ht="12.75">
      <c r="A39" s="50">
        <v>32</v>
      </c>
      <c r="B39" s="51"/>
      <c r="C39" s="51" t="s">
        <v>553</v>
      </c>
      <c r="D39" s="52" t="s">
        <v>47</v>
      </c>
      <c r="E39" s="53" t="s">
        <v>554</v>
      </c>
      <c r="F39" s="54" t="s">
        <v>250</v>
      </c>
      <c r="G39" s="55" t="s">
        <v>83</v>
      </c>
      <c r="H39" s="55" t="s">
        <v>243</v>
      </c>
      <c r="I39" s="55"/>
      <c r="J39" s="55"/>
      <c r="K39" s="197">
        <f t="shared" si="0"/>
        <v>614</v>
      </c>
      <c r="L39" s="169">
        <v>54.47</v>
      </c>
      <c r="M39" s="171"/>
      <c r="N39" s="189" t="str">
        <f t="shared" si="1"/>
        <v>II A</v>
      </c>
      <c r="O39" s="55" t="s">
        <v>555</v>
      </c>
      <c r="P39" s="198">
        <v>53.54</v>
      </c>
      <c r="Q39" s="198"/>
      <c r="R39" s="191">
        <v>3</v>
      </c>
      <c r="S39" s="8">
        <v>5</v>
      </c>
    </row>
    <row r="40" spans="1:19" ht="12.75">
      <c r="A40" s="50">
        <v>33</v>
      </c>
      <c r="B40" s="51"/>
      <c r="C40" s="51">
        <v>169</v>
      </c>
      <c r="D40" s="52" t="s">
        <v>556</v>
      </c>
      <c r="E40" s="53" t="s">
        <v>557</v>
      </c>
      <c r="F40" s="54" t="s">
        <v>558</v>
      </c>
      <c r="G40" s="55" t="s">
        <v>83</v>
      </c>
      <c r="H40" s="55" t="s">
        <v>237</v>
      </c>
      <c r="I40" s="55" t="s">
        <v>84</v>
      </c>
      <c r="J40" s="55"/>
      <c r="K40" s="197">
        <f t="shared" si="0"/>
        <v>596</v>
      </c>
      <c r="L40" s="169">
        <v>54.82</v>
      </c>
      <c r="M40" s="171"/>
      <c r="N40" s="189" t="str">
        <f t="shared" si="1"/>
        <v>III A</v>
      </c>
      <c r="O40" s="55" t="s">
        <v>559</v>
      </c>
      <c r="P40" s="198">
        <v>54.21</v>
      </c>
      <c r="Q40" s="198"/>
      <c r="R40" s="191">
        <v>3</v>
      </c>
      <c r="S40" s="8">
        <v>6</v>
      </c>
    </row>
    <row r="41" spans="1:19" ht="12.75">
      <c r="A41" s="50">
        <v>34</v>
      </c>
      <c r="B41" s="51"/>
      <c r="C41" s="51">
        <v>181</v>
      </c>
      <c r="D41" s="52" t="s">
        <v>516</v>
      </c>
      <c r="E41" s="53" t="s">
        <v>517</v>
      </c>
      <c r="F41" s="54" t="s">
        <v>518</v>
      </c>
      <c r="G41" s="55" t="s">
        <v>43</v>
      </c>
      <c r="H41" s="55" t="s">
        <v>148</v>
      </c>
      <c r="I41" s="55" t="s">
        <v>37</v>
      </c>
      <c r="J41" s="55"/>
      <c r="K41" s="197">
        <f t="shared" si="0"/>
        <v>593</v>
      </c>
      <c r="L41" s="169">
        <v>54.88</v>
      </c>
      <c r="M41" s="171"/>
      <c r="N41" s="189" t="str">
        <f t="shared" si="1"/>
        <v>III A</v>
      </c>
      <c r="O41" s="55" t="s">
        <v>519</v>
      </c>
      <c r="P41" s="198" t="s">
        <v>466</v>
      </c>
      <c r="Q41" s="198"/>
      <c r="R41" s="191">
        <v>2</v>
      </c>
      <c r="S41" s="8">
        <v>6</v>
      </c>
    </row>
    <row r="42" spans="1:19" ht="12.75">
      <c r="A42" s="50">
        <v>35</v>
      </c>
      <c r="B42" s="51"/>
      <c r="C42" s="51" t="s">
        <v>560</v>
      </c>
      <c r="D42" s="52" t="s">
        <v>561</v>
      </c>
      <c r="E42" s="53" t="s">
        <v>562</v>
      </c>
      <c r="F42" s="54" t="s">
        <v>563</v>
      </c>
      <c r="G42" s="55" t="s">
        <v>43</v>
      </c>
      <c r="H42" s="55" t="s">
        <v>44</v>
      </c>
      <c r="I42" s="55" t="s">
        <v>37</v>
      </c>
      <c r="J42" s="55"/>
      <c r="K42" s="197">
        <f t="shared" si="0"/>
        <v>586</v>
      </c>
      <c r="L42" s="169">
        <v>55.04</v>
      </c>
      <c r="M42" s="171"/>
      <c r="N42" s="189" t="str">
        <f t="shared" si="1"/>
        <v>III A</v>
      </c>
      <c r="O42" s="55" t="s">
        <v>152</v>
      </c>
      <c r="P42" s="198">
        <v>55.55</v>
      </c>
      <c r="Q42" s="198"/>
      <c r="R42" s="191">
        <v>3</v>
      </c>
      <c r="S42" s="8">
        <v>1</v>
      </c>
    </row>
    <row r="43" spans="1:19" ht="12.75">
      <c r="A43" s="50">
        <v>36</v>
      </c>
      <c r="B43" s="51"/>
      <c r="C43" s="51">
        <v>179</v>
      </c>
      <c r="D43" s="52" t="s">
        <v>495</v>
      </c>
      <c r="E43" s="53" t="s">
        <v>496</v>
      </c>
      <c r="F43" s="54" t="s">
        <v>497</v>
      </c>
      <c r="G43" s="55" t="s">
        <v>498</v>
      </c>
      <c r="H43" s="55" t="s">
        <v>499</v>
      </c>
      <c r="I43" s="55"/>
      <c r="J43" s="55"/>
      <c r="K43" s="197">
        <f t="shared" si="0"/>
        <v>560</v>
      </c>
      <c r="L43" s="169">
        <v>55.56</v>
      </c>
      <c r="M43" s="171"/>
      <c r="N43" s="189" t="str">
        <f t="shared" si="1"/>
        <v>III A</v>
      </c>
      <c r="O43" s="55" t="s">
        <v>500</v>
      </c>
      <c r="P43" s="198" t="s">
        <v>466</v>
      </c>
      <c r="Q43" s="198"/>
      <c r="R43" s="191">
        <v>1</v>
      </c>
      <c r="S43" s="8">
        <v>1</v>
      </c>
    </row>
    <row r="44" spans="1:19" ht="12.75">
      <c r="A44" s="50">
        <v>37</v>
      </c>
      <c r="B44" s="51"/>
      <c r="C44" s="51">
        <v>17</v>
      </c>
      <c r="D44" s="52" t="s">
        <v>520</v>
      </c>
      <c r="E44" s="53" t="s">
        <v>521</v>
      </c>
      <c r="F44" s="54" t="s">
        <v>522</v>
      </c>
      <c r="G44" s="55" t="s">
        <v>342</v>
      </c>
      <c r="H44" s="55" t="s">
        <v>29</v>
      </c>
      <c r="I44" s="55" t="s">
        <v>30</v>
      </c>
      <c r="J44" s="55"/>
      <c r="K44" s="197">
        <f t="shared" si="0"/>
        <v>544</v>
      </c>
      <c r="L44" s="169">
        <v>55.9</v>
      </c>
      <c r="M44" s="171"/>
      <c r="N44" s="189" t="str">
        <f t="shared" si="1"/>
        <v>III A</v>
      </c>
      <c r="O44" s="55" t="s">
        <v>31</v>
      </c>
      <c r="P44" s="198" t="s">
        <v>466</v>
      </c>
      <c r="Q44" s="198"/>
      <c r="R44" s="191">
        <v>2</v>
      </c>
      <c r="S44" s="8">
        <v>1</v>
      </c>
    </row>
    <row r="45" spans="1:19" ht="12.75">
      <c r="A45" s="50">
        <v>38</v>
      </c>
      <c r="B45" s="51">
        <v>8</v>
      </c>
      <c r="C45" s="51">
        <v>200</v>
      </c>
      <c r="D45" s="52" t="s">
        <v>629</v>
      </c>
      <c r="E45" s="53" t="s">
        <v>61</v>
      </c>
      <c r="F45" s="54" t="s">
        <v>630</v>
      </c>
      <c r="G45" s="55" t="s">
        <v>22</v>
      </c>
      <c r="H45" s="55"/>
      <c r="I45" s="55"/>
      <c r="J45" s="55" t="s">
        <v>107</v>
      </c>
      <c r="K45" s="197">
        <f t="shared" si="0"/>
        <v>501</v>
      </c>
      <c r="L45" s="169">
        <v>56.84</v>
      </c>
      <c r="M45" s="171"/>
      <c r="N45" s="189" t="str">
        <f t="shared" si="1"/>
        <v>III A</v>
      </c>
      <c r="O45" s="55" t="s">
        <v>108</v>
      </c>
      <c r="P45" s="198">
        <v>49.57</v>
      </c>
      <c r="Q45" s="198"/>
      <c r="R45" s="191">
        <v>5</v>
      </c>
      <c r="S45" s="8">
        <v>3</v>
      </c>
    </row>
    <row r="46" spans="1:19" ht="12.75">
      <c r="A46" s="50">
        <v>39</v>
      </c>
      <c r="B46" s="51"/>
      <c r="C46" s="51" t="s">
        <v>523</v>
      </c>
      <c r="D46" s="52" t="s">
        <v>524</v>
      </c>
      <c r="E46" s="53" t="s">
        <v>525</v>
      </c>
      <c r="F46" s="54" t="s">
        <v>526</v>
      </c>
      <c r="G46" s="55" t="s">
        <v>527</v>
      </c>
      <c r="H46" s="55" t="s">
        <v>528</v>
      </c>
      <c r="I46" s="55" t="s">
        <v>37</v>
      </c>
      <c r="J46" s="55"/>
      <c r="K46" s="197">
        <f t="shared" si="0"/>
        <v>405</v>
      </c>
      <c r="L46" s="169">
        <v>59.06</v>
      </c>
      <c r="M46" s="171"/>
      <c r="N46" s="189">
        <f t="shared" si="1"/>
      </c>
      <c r="O46" s="55" t="s">
        <v>529</v>
      </c>
      <c r="P46" s="198" t="s">
        <v>466</v>
      </c>
      <c r="Q46" s="198"/>
      <c r="R46" s="191">
        <v>2</v>
      </c>
      <c r="S46" s="8">
        <v>2</v>
      </c>
    </row>
    <row r="47" spans="1:19" ht="12.75">
      <c r="A47" s="50">
        <v>40</v>
      </c>
      <c r="B47" s="51">
        <v>9</v>
      </c>
      <c r="C47" s="51">
        <v>152</v>
      </c>
      <c r="D47" s="52" t="s">
        <v>508</v>
      </c>
      <c r="E47" s="53" t="s">
        <v>530</v>
      </c>
      <c r="F47" s="54" t="s">
        <v>531</v>
      </c>
      <c r="G47" s="55" t="s">
        <v>83</v>
      </c>
      <c r="H47" s="55"/>
      <c r="I47" s="55"/>
      <c r="J47" s="55" t="s">
        <v>85</v>
      </c>
      <c r="K47" s="197">
        <f t="shared" si="0"/>
        <v>280</v>
      </c>
      <c r="L47" s="169">
        <v>62.43</v>
      </c>
      <c r="M47" s="171"/>
      <c r="N47" s="189">
        <f t="shared" si="1"/>
      </c>
      <c r="O47" s="55" t="s">
        <v>86</v>
      </c>
      <c r="P47" s="198" t="s">
        <v>466</v>
      </c>
      <c r="Q47" s="198"/>
      <c r="R47" s="191">
        <v>2</v>
      </c>
      <c r="S47" s="8">
        <v>4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180" verticalDpi="18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00390625" style="28" customWidth="1"/>
    <col min="2" max="2" width="2.8515625" style="28" customWidth="1"/>
    <col min="3" max="3" width="3.8515625" style="28" hidden="1" customWidth="1"/>
    <col min="4" max="4" width="9.421875" style="23" customWidth="1"/>
    <col min="5" max="5" width="14.421875" style="24" customWidth="1"/>
    <col min="6" max="6" width="9.28125" style="25" customWidth="1"/>
    <col min="7" max="7" width="11.7109375" style="24" bestFit="1" customWidth="1"/>
    <col min="8" max="8" width="7.421875" style="24" customWidth="1"/>
    <col min="9" max="9" width="12.8515625" style="24" customWidth="1"/>
    <col min="10" max="10" width="5.140625" style="24" bestFit="1" customWidth="1"/>
    <col min="11" max="11" width="5.421875" style="6" customWidth="1"/>
    <col min="12" max="12" width="8.28125" style="26" customWidth="1"/>
    <col min="13" max="13" width="4.421875" style="6" customWidth="1"/>
    <col min="14" max="14" width="24.57421875" style="24" customWidth="1"/>
    <col min="15" max="16" width="5.8515625" style="9" hidden="1" customWidth="1"/>
    <col min="17" max="17" width="9.140625" style="24" customWidth="1"/>
    <col min="18" max="16384" width="9.140625" style="24" customWidth="1"/>
  </cols>
  <sheetData>
    <row r="1" spans="1:16" s="4" customFormat="1" ht="18.75" customHeight="1">
      <c r="A1" s="1" t="s">
        <v>0</v>
      </c>
      <c r="B1" s="1"/>
      <c r="C1" s="2"/>
      <c r="D1" s="3"/>
      <c r="F1" s="5"/>
      <c r="K1" s="6"/>
      <c r="L1" s="7"/>
      <c r="M1" s="6"/>
      <c r="O1" s="9"/>
      <c r="P1" s="9"/>
    </row>
    <row r="2" spans="1:16" s="14" customFormat="1" ht="22.5" customHeight="1">
      <c r="A2" s="11" t="s">
        <v>1</v>
      </c>
      <c r="B2" s="65"/>
      <c r="C2" s="12"/>
      <c r="D2" s="13"/>
      <c r="F2" s="15"/>
      <c r="K2" s="16"/>
      <c r="L2" s="17"/>
      <c r="M2" s="16"/>
      <c r="N2" s="18" t="s">
        <v>2</v>
      </c>
      <c r="O2" s="20"/>
      <c r="P2" s="20"/>
    </row>
    <row r="3" spans="1:14" ht="15" customHeight="1">
      <c r="A3" s="22"/>
      <c r="B3" s="22"/>
      <c r="C3" s="22"/>
      <c r="N3" s="27" t="s">
        <v>1236</v>
      </c>
    </row>
    <row r="4" spans="4:14" ht="15.75" customHeight="1">
      <c r="D4" s="29" t="s">
        <v>177</v>
      </c>
      <c r="F4" s="30"/>
      <c r="N4" s="31"/>
    </row>
    <row r="5" ht="3.75" customHeight="1">
      <c r="J5" s="32">
        <v>1.1574074074074073E-05</v>
      </c>
    </row>
    <row r="6" spans="3:8" ht="13.5" thickBot="1">
      <c r="C6" s="33"/>
      <c r="D6" s="34"/>
      <c r="F6" s="36" t="s">
        <v>111</v>
      </c>
      <c r="G6" s="37"/>
      <c r="H6" s="38"/>
    </row>
    <row r="7" spans="1:16" s="49" customFormat="1" ht="13.5" thickBot="1">
      <c r="A7" s="39" t="s">
        <v>109</v>
      </c>
      <c r="B7" s="45" t="s">
        <v>17</v>
      </c>
      <c r="C7" s="45" t="s">
        <v>4</v>
      </c>
      <c r="D7" s="41" t="s">
        <v>5</v>
      </c>
      <c r="E7" s="42" t="s">
        <v>6</v>
      </c>
      <c r="F7" s="43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3" t="s">
        <v>12</v>
      </c>
      <c r="L7" s="45" t="s">
        <v>13</v>
      </c>
      <c r="M7" s="46" t="s">
        <v>14</v>
      </c>
      <c r="N7" s="47" t="s">
        <v>15</v>
      </c>
      <c r="O7" s="64" t="s">
        <v>18</v>
      </c>
      <c r="P7" s="64" t="s">
        <v>16</v>
      </c>
    </row>
    <row r="8" spans="1:16" ht="13.5" customHeight="1">
      <c r="A8" s="50">
        <v>1</v>
      </c>
      <c r="B8" s="51">
        <v>1</v>
      </c>
      <c r="C8" s="51">
        <v>44</v>
      </c>
      <c r="D8" s="52" t="s">
        <v>176</v>
      </c>
      <c r="E8" s="53" t="s">
        <v>175</v>
      </c>
      <c r="F8" s="54" t="s">
        <v>174</v>
      </c>
      <c r="G8" s="55" t="s">
        <v>132</v>
      </c>
      <c r="H8" s="55" t="s">
        <v>173</v>
      </c>
      <c r="I8" s="55" t="s">
        <v>172</v>
      </c>
      <c r="J8" s="55" t="s">
        <v>171</v>
      </c>
      <c r="K8" s="63">
        <f>IF(ISBLANK(L8),"",TRUNC(0.0134*((L8/$J$5)-540)^2))</f>
        <v>974</v>
      </c>
      <c r="L8" s="62">
        <v>0.003129166666666667</v>
      </c>
      <c r="M8" s="61" t="str">
        <f aca="true" t="shared" si="0" ref="M8:M20">IF(ISBLANK(L8),"",IF(L8&gt;0.00395833333333333,"",IF(L8&lt;=0.00288194444444444,"TSM",IF(L8&lt;=0.00298611111111111,"SM",IF(L8&lt;=0.00314814814814815,"KSM",IF(L8&lt;=0.00335648148148148,"I A",IF(L8&lt;=0.00361111111111111,"II A",IF(L8&lt;=0.00395833333333333,"III A"))))))))</f>
        <v>KSM</v>
      </c>
      <c r="N8" s="55" t="s">
        <v>170</v>
      </c>
      <c r="O8" s="59"/>
      <c r="P8" s="59"/>
    </row>
    <row r="9" spans="1:16" ht="13.5" customHeight="1">
      <c r="A9" s="50">
        <v>2</v>
      </c>
      <c r="B9" s="51">
        <v>2</v>
      </c>
      <c r="C9" s="51">
        <v>142</v>
      </c>
      <c r="D9" s="52" t="s">
        <v>169</v>
      </c>
      <c r="E9" s="53" t="s">
        <v>168</v>
      </c>
      <c r="F9" s="54" t="s">
        <v>167</v>
      </c>
      <c r="G9" s="55" t="s">
        <v>166</v>
      </c>
      <c r="H9" s="55" t="s">
        <v>165</v>
      </c>
      <c r="I9" s="55" t="s">
        <v>164</v>
      </c>
      <c r="J9" s="55" t="s">
        <v>163</v>
      </c>
      <c r="K9" s="63">
        <f>IF(ISBLANK(L9),"",TRUNC(0.0134*((L9/$J$5)-540)^2))</f>
        <v>967</v>
      </c>
      <c r="L9" s="62">
        <v>0.0031392361111111113</v>
      </c>
      <c r="M9" s="61" t="str">
        <f t="shared" si="0"/>
        <v>KSM</v>
      </c>
      <c r="N9" s="55" t="s">
        <v>162</v>
      </c>
      <c r="O9" s="59"/>
      <c r="P9" s="59"/>
    </row>
    <row r="10" spans="1:16" ht="13.5" customHeight="1">
      <c r="A10" s="50">
        <v>3</v>
      </c>
      <c r="B10" s="51"/>
      <c r="C10" s="51">
        <v>210</v>
      </c>
      <c r="D10" s="52" t="s">
        <v>1111</v>
      </c>
      <c r="E10" s="53" t="s">
        <v>1112</v>
      </c>
      <c r="F10" s="54" t="s">
        <v>161</v>
      </c>
      <c r="G10" s="55" t="s">
        <v>160</v>
      </c>
      <c r="H10" s="55"/>
      <c r="I10" s="55"/>
      <c r="J10" s="55"/>
      <c r="K10" s="63"/>
      <c r="L10" s="62">
        <v>0.003301041666666667</v>
      </c>
      <c r="M10" s="61" t="str">
        <f t="shared" si="0"/>
        <v>I A</v>
      </c>
      <c r="N10" s="55" t="s">
        <v>159</v>
      </c>
      <c r="O10" s="59"/>
      <c r="P10" s="59"/>
    </row>
    <row r="11" spans="1:16" ht="13.5" customHeight="1">
      <c r="A11" s="50">
        <v>4</v>
      </c>
      <c r="B11" s="51"/>
      <c r="C11" s="51">
        <v>105</v>
      </c>
      <c r="D11" s="52" t="s">
        <v>139</v>
      </c>
      <c r="E11" s="53" t="s">
        <v>158</v>
      </c>
      <c r="F11" s="54" t="s">
        <v>157</v>
      </c>
      <c r="G11" s="55" t="s">
        <v>22</v>
      </c>
      <c r="H11" s="55" t="s">
        <v>72</v>
      </c>
      <c r="I11" s="55"/>
      <c r="J11" s="55"/>
      <c r="K11" s="63">
        <f aca="true" t="shared" si="1" ref="K11:K20">IF(ISBLANK(L11),"",TRUNC(0.0134*((L11/$J$5)-540)^2))</f>
        <v>845</v>
      </c>
      <c r="L11" s="62">
        <v>0.0033424768518518517</v>
      </c>
      <c r="M11" s="61" t="str">
        <f t="shared" si="0"/>
        <v>I A</v>
      </c>
      <c r="N11" s="55" t="s">
        <v>156</v>
      </c>
      <c r="O11" s="59"/>
      <c r="P11" s="59"/>
    </row>
    <row r="12" spans="1:16" ht="13.5" customHeight="1">
      <c r="A12" s="50">
        <v>5</v>
      </c>
      <c r="B12" s="51"/>
      <c r="C12" s="51">
        <v>22</v>
      </c>
      <c r="D12" s="52" t="s">
        <v>155</v>
      </c>
      <c r="E12" s="53" t="s">
        <v>154</v>
      </c>
      <c r="F12" s="54" t="s">
        <v>153</v>
      </c>
      <c r="G12" s="55" t="s">
        <v>43</v>
      </c>
      <c r="H12" s="55" t="s">
        <v>44</v>
      </c>
      <c r="I12" s="55" t="s">
        <v>37</v>
      </c>
      <c r="J12" s="55"/>
      <c r="K12" s="63">
        <f t="shared" si="1"/>
        <v>832</v>
      </c>
      <c r="L12" s="62">
        <v>0.003365393518518519</v>
      </c>
      <c r="M12" s="61" t="str">
        <f t="shared" si="0"/>
        <v>II A</v>
      </c>
      <c r="N12" s="55" t="s">
        <v>152</v>
      </c>
      <c r="O12" s="59"/>
      <c r="P12" s="59"/>
    </row>
    <row r="13" spans="1:16" ht="13.5" customHeight="1">
      <c r="A13" s="50">
        <v>6</v>
      </c>
      <c r="B13" s="51">
        <v>3</v>
      </c>
      <c r="C13" s="51">
        <v>154</v>
      </c>
      <c r="D13" s="52" t="s">
        <v>151</v>
      </c>
      <c r="E13" s="53" t="s">
        <v>150</v>
      </c>
      <c r="F13" s="54" t="s">
        <v>149</v>
      </c>
      <c r="G13" s="55" t="s">
        <v>43</v>
      </c>
      <c r="H13" s="55" t="s">
        <v>148</v>
      </c>
      <c r="I13" s="55" t="s">
        <v>73</v>
      </c>
      <c r="J13" s="55" t="s">
        <v>147</v>
      </c>
      <c r="K13" s="63">
        <f t="shared" si="1"/>
        <v>797</v>
      </c>
      <c r="L13" s="62">
        <v>0.003426041666666667</v>
      </c>
      <c r="M13" s="61" t="str">
        <f t="shared" si="0"/>
        <v>II A</v>
      </c>
      <c r="N13" s="55" t="s">
        <v>146</v>
      </c>
      <c r="O13" s="59"/>
      <c r="P13" s="59"/>
    </row>
    <row r="14" spans="1:16" ht="13.5" customHeight="1">
      <c r="A14" s="50">
        <v>7</v>
      </c>
      <c r="B14" s="51"/>
      <c r="C14" s="51">
        <v>161</v>
      </c>
      <c r="D14" s="52" t="s">
        <v>145</v>
      </c>
      <c r="E14" s="53" t="s">
        <v>144</v>
      </c>
      <c r="F14" s="54" t="s">
        <v>143</v>
      </c>
      <c r="G14" s="55" t="s">
        <v>142</v>
      </c>
      <c r="H14" s="55" t="s">
        <v>141</v>
      </c>
      <c r="I14" s="55" t="s">
        <v>130</v>
      </c>
      <c r="J14" s="55"/>
      <c r="K14" s="63">
        <f t="shared" si="1"/>
        <v>764</v>
      </c>
      <c r="L14" s="62">
        <v>0.003485763888888889</v>
      </c>
      <c r="M14" s="61" t="str">
        <f t="shared" si="0"/>
        <v>II A</v>
      </c>
      <c r="N14" s="55" t="s">
        <v>140</v>
      </c>
      <c r="O14" s="59"/>
      <c r="P14" s="59"/>
    </row>
    <row r="15" spans="1:16" ht="13.5" customHeight="1">
      <c r="A15" s="50">
        <v>8</v>
      </c>
      <c r="B15" s="51"/>
      <c r="C15" s="51">
        <v>140</v>
      </c>
      <c r="D15" s="52" t="s">
        <v>139</v>
      </c>
      <c r="E15" s="53" t="s">
        <v>138</v>
      </c>
      <c r="F15" s="54" t="s">
        <v>137</v>
      </c>
      <c r="G15" s="55" t="s">
        <v>95</v>
      </c>
      <c r="H15" s="55" t="s">
        <v>96</v>
      </c>
      <c r="I15" s="55" t="s">
        <v>97</v>
      </c>
      <c r="J15" s="55"/>
      <c r="K15" s="63">
        <f t="shared" si="1"/>
        <v>748</v>
      </c>
      <c r="L15" s="62">
        <v>0.0035140046296296295</v>
      </c>
      <c r="M15" s="61" t="str">
        <f t="shared" si="0"/>
        <v>II A</v>
      </c>
      <c r="N15" s="55" t="s">
        <v>136</v>
      </c>
      <c r="O15" s="59"/>
      <c r="P15" s="59"/>
    </row>
    <row r="16" spans="1:16" ht="13.5" customHeight="1">
      <c r="A16" s="50">
        <v>9</v>
      </c>
      <c r="B16" s="51"/>
      <c r="C16" s="51">
        <v>43</v>
      </c>
      <c r="D16" s="52" t="s">
        <v>135</v>
      </c>
      <c r="E16" s="53" t="s">
        <v>134</v>
      </c>
      <c r="F16" s="54" t="s">
        <v>133</v>
      </c>
      <c r="G16" s="55" t="s">
        <v>132</v>
      </c>
      <c r="H16" s="55" t="s">
        <v>131</v>
      </c>
      <c r="I16" s="55" t="s">
        <v>130</v>
      </c>
      <c r="J16" s="55"/>
      <c r="K16" s="63">
        <f t="shared" si="1"/>
        <v>703</v>
      </c>
      <c r="L16" s="62">
        <v>0.0035988425925925927</v>
      </c>
      <c r="M16" s="61" t="str">
        <f t="shared" si="0"/>
        <v>II A</v>
      </c>
      <c r="N16" s="55" t="s">
        <v>129</v>
      </c>
      <c r="O16" s="59"/>
      <c r="P16" s="59"/>
    </row>
    <row r="17" spans="1:16" ht="13.5" customHeight="1">
      <c r="A17" s="50">
        <v>10</v>
      </c>
      <c r="B17" s="51">
        <v>4</v>
      </c>
      <c r="C17" s="51">
        <v>7</v>
      </c>
      <c r="D17" s="52" t="s">
        <v>128</v>
      </c>
      <c r="E17" s="53" t="s">
        <v>127</v>
      </c>
      <c r="F17" s="54" t="s">
        <v>126</v>
      </c>
      <c r="G17" s="55" t="s">
        <v>22</v>
      </c>
      <c r="H17" s="55"/>
      <c r="I17" s="55"/>
      <c r="J17" s="55" t="s">
        <v>23</v>
      </c>
      <c r="K17" s="63">
        <f t="shared" si="1"/>
        <v>699</v>
      </c>
      <c r="L17" s="62">
        <v>0.00360613425925926</v>
      </c>
      <c r="M17" s="61" t="str">
        <f t="shared" si="0"/>
        <v>II A</v>
      </c>
      <c r="N17" s="55" t="s">
        <v>125</v>
      </c>
      <c r="O17" s="59"/>
      <c r="P17" s="59"/>
    </row>
    <row r="18" spans="1:16" ht="13.5" customHeight="1">
      <c r="A18" s="50">
        <v>11</v>
      </c>
      <c r="B18" s="51"/>
      <c r="C18" s="51">
        <v>124</v>
      </c>
      <c r="D18" s="52" t="s">
        <v>124</v>
      </c>
      <c r="E18" s="53" t="s">
        <v>123</v>
      </c>
      <c r="F18" s="54" t="s">
        <v>122</v>
      </c>
      <c r="G18" s="55" t="s">
        <v>90</v>
      </c>
      <c r="H18" s="55" t="s">
        <v>9</v>
      </c>
      <c r="I18" s="55"/>
      <c r="J18" s="55"/>
      <c r="K18" s="63">
        <f t="shared" si="1"/>
        <v>681</v>
      </c>
      <c r="L18" s="62">
        <v>0.003639351851851852</v>
      </c>
      <c r="M18" s="61" t="str">
        <f t="shared" si="0"/>
        <v>III A</v>
      </c>
      <c r="N18" s="55" t="s">
        <v>91</v>
      </c>
      <c r="O18" s="59"/>
      <c r="P18" s="59"/>
    </row>
    <row r="19" spans="1:16" ht="13.5" customHeight="1">
      <c r="A19" s="50">
        <v>12</v>
      </c>
      <c r="B19" s="51"/>
      <c r="C19" s="51">
        <v>28</v>
      </c>
      <c r="D19" s="52" t="s">
        <v>121</v>
      </c>
      <c r="E19" s="53" t="s">
        <v>120</v>
      </c>
      <c r="F19" s="54" t="s">
        <v>119</v>
      </c>
      <c r="G19" s="55" t="s">
        <v>118</v>
      </c>
      <c r="H19" s="55" t="s">
        <v>9</v>
      </c>
      <c r="I19" s="55" t="s">
        <v>117</v>
      </c>
      <c r="J19" s="55"/>
      <c r="K19" s="63">
        <f t="shared" si="1"/>
        <v>584</v>
      </c>
      <c r="L19" s="62">
        <v>0.003833217592592593</v>
      </c>
      <c r="M19" s="61" t="str">
        <f t="shared" si="0"/>
        <v>III A</v>
      </c>
      <c r="N19" s="55" t="s">
        <v>116</v>
      </c>
      <c r="O19" s="59"/>
      <c r="P19" s="59"/>
    </row>
    <row r="20" spans="1:16" ht="13.5" customHeight="1">
      <c r="A20" s="50">
        <v>13</v>
      </c>
      <c r="B20" s="51"/>
      <c r="C20" s="51">
        <v>13</v>
      </c>
      <c r="D20" s="52" t="s">
        <v>115</v>
      </c>
      <c r="E20" s="53" t="s">
        <v>114</v>
      </c>
      <c r="F20" s="54" t="s">
        <v>113</v>
      </c>
      <c r="G20" s="55" t="s">
        <v>28</v>
      </c>
      <c r="H20" s="55" t="s">
        <v>29</v>
      </c>
      <c r="I20" s="55" t="s">
        <v>30</v>
      </c>
      <c r="J20" s="55"/>
      <c r="K20" s="63">
        <f t="shared" si="1"/>
        <v>551</v>
      </c>
      <c r="L20" s="62">
        <v>0.00390162037037037</v>
      </c>
      <c r="M20" s="61" t="str">
        <f t="shared" si="0"/>
        <v>III A</v>
      </c>
      <c r="N20" s="55" t="s">
        <v>112</v>
      </c>
      <c r="O20" s="59"/>
      <c r="P20" s="59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cp:lastPrinted>2017-06-02T14:01:13Z</cp:lastPrinted>
  <dcterms:created xsi:type="dcterms:W3CDTF">2017-05-31T18:56:18Z</dcterms:created>
  <dcterms:modified xsi:type="dcterms:W3CDTF">2017-06-02T17:15:57Z</dcterms:modified>
  <cp:category/>
  <cp:version/>
  <cp:contentType/>
  <cp:contentStatus/>
</cp:coreProperties>
</file>